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zhone.CCOE\Google Drive\Me\ADMIN POSITION\BOND\"/>
    </mc:Choice>
  </mc:AlternateContent>
  <workbookProtection workbookAlgorithmName="SHA-512" workbookHashValue="mSR5T6ukrKOA4Ysx8nWLiGkgrDBHbRUn8Oq5DZQ0QJ7RSCfjeb38BWe4/HjKsYCEGqU36zYxuynTj3IcGBxpjw==" workbookSaltValue="YIS4WAZu1JcXG/mU/aAm7A==" workbookSpinCount="100000" lockStructure="1"/>
  <bookViews>
    <workbookView xWindow="0" yWindow="0" windowWidth="16395" windowHeight="5655" tabRatio="859" firstSheet="2" activeTab="2"/>
  </bookViews>
  <sheets>
    <sheet name="District Summary" sheetId="7" r:id="rId1"/>
    <sheet name="Burchfield ES " sheetId="18" r:id="rId2"/>
    <sheet name="Egling MS " sheetId="19" r:id="rId3"/>
    <sheet name="Colusa HS" sheetId="17" r:id="rId4"/>
    <sheet name="Cash Flow " sheetId="44" r:id="rId5"/>
    <sheet name="Uti Rates" sheetId="43" r:id="rId6"/>
    <sheet name="ECM-1a Proj E3" sheetId="23" r:id="rId7"/>
    <sheet name="ECM-1b Proj E2" sheetId="28" r:id="rId8"/>
    <sheet name="ECM-1c Proj E1" sheetId="24" r:id="rId9"/>
    <sheet name="ECM-2 Proj M5" sheetId="22" r:id="rId10"/>
    <sheet name="ECM-2 Calcs" sheetId="42" r:id="rId11"/>
    <sheet name="ECM-3 Proj L-6a" sheetId="25" r:id="rId12"/>
    <sheet name="ECM-3 Calcs" sheetId="33" r:id="rId13"/>
    <sheet name="ECM-4 Proj L1" sheetId="26" r:id="rId14"/>
    <sheet name="ECM-4a Inventory" sheetId="40" r:id="rId15"/>
    <sheet name="ECM-4a V7a Calcs" sheetId="39" r:id="rId16"/>
    <sheet name="ECM-4c Calcs" sheetId="31" r:id="rId17"/>
    <sheet name="ECM-4d Calcs" sheetId="34" r:id="rId18"/>
    <sheet name="ECM-5 Proj M1a " sheetId="37" r:id="rId19"/>
    <sheet name="ECM 6" sheetId="29" r:id="rId20"/>
    <sheet name="Uti Rates &amp; Lighting Caps" sheetId="27" r:id="rId21"/>
    <sheet name="CPM ECM to DE Proj#" sheetId="21" r:id="rId22"/>
    <sheet name="Sheet2" sheetId="36" r:id="rId23"/>
    <sheet name="Sheet1" sheetId="35" r:id="rId24"/>
  </sheets>
  <definedNames>
    <definedName name="_xlnm.Print_Area" localSheetId="1">'Burchfield ES '!$A$2:$Y$19</definedName>
    <definedName name="_xlnm.Print_Area" localSheetId="4">'Cash Flow '!$A$1:$I$27</definedName>
    <definedName name="_xlnm.Print_Area" localSheetId="3">'Colusa HS'!$A$2:$Y$25</definedName>
    <definedName name="_xlnm.Print_Area" localSheetId="0">'District Summary'!$A$1:$O$19</definedName>
    <definedName name="_xlnm.Print_Area" localSheetId="9">'ECM-2 Proj M5'!$A$1:$K$77</definedName>
    <definedName name="_xlnm.Print_Area" localSheetId="2">'Egling MS '!$A$2:$Y$23</definedName>
    <definedName name="_xlnm.Print_Titles" localSheetId="1">'Burchfield ES '!$1:$4</definedName>
    <definedName name="_xlnm.Print_Titles" localSheetId="3">'Colusa HS'!$1:$4</definedName>
    <definedName name="_xlnm.Print_Titles" localSheetId="0">'District Summary'!$1:$3</definedName>
    <definedName name="_xlnm.Print_Titles" localSheetId="2">'Egling MS '!$1:$4</definedName>
  </definedNames>
  <calcPr calcId="162913"/>
</workbook>
</file>

<file path=xl/calcChain.xml><?xml version="1.0" encoding="utf-8"?>
<calcChain xmlns="http://schemas.openxmlformats.org/spreadsheetml/2006/main">
  <c r="AJ186" i="40" l="1"/>
  <c r="G19" i="44" l="1"/>
  <c r="F19" i="44"/>
  <c r="D19" i="44"/>
  <c r="C19" i="44"/>
  <c r="H18" i="44"/>
  <c r="H17" i="44"/>
  <c r="E16" i="44"/>
  <c r="E19" i="44" s="1"/>
  <c r="G13" i="44"/>
  <c r="F13" i="44"/>
  <c r="E13" i="44"/>
  <c r="D13" i="44"/>
  <c r="C13" i="44"/>
  <c r="C20" i="44" s="1"/>
  <c r="D20" i="44" s="1"/>
  <c r="H8" i="44"/>
  <c r="H13" i="44" s="1"/>
  <c r="E20" i="44" l="1"/>
  <c r="F20" i="44" s="1"/>
  <c r="G20" i="44" s="1"/>
  <c r="H16" i="44"/>
  <c r="H19" i="44" s="1"/>
  <c r="H20" i="44" s="1"/>
  <c r="H58" i="22" l="1"/>
  <c r="H59" i="22"/>
  <c r="U34" i="17" l="1"/>
  <c r="U33" i="19"/>
  <c r="U28" i="18"/>
  <c r="W8" i="17" l="1"/>
  <c r="W7" i="17"/>
  <c r="U7" i="17"/>
  <c r="W6" i="17"/>
  <c r="U6" i="17"/>
  <c r="W23" i="17"/>
  <c r="U6" i="19"/>
  <c r="U40" i="19" s="1"/>
  <c r="W7" i="19"/>
  <c r="U7" i="19"/>
  <c r="U6" i="18"/>
  <c r="W6" i="18" s="1"/>
  <c r="W6" i="19" l="1"/>
  <c r="U23" i="18"/>
  <c r="U22" i="18" l="1"/>
  <c r="U27" i="19"/>
  <c r="U28" i="17"/>
  <c r="U40" i="17"/>
  <c r="U39" i="19"/>
  <c r="U34" i="18"/>
  <c r="S24" i="17" l="1"/>
  <c r="K21" i="17"/>
  <c r="J21" i="17"/>
  <c r="K21" i="19"/>
  <c r="J21" i="19"/>
  <c r="V20" i="19"/>
  <c r="K20" i="19"/>
  <c r="J20" i="19"/>
  <c r="K17" i="18"/>
  <c r="K16" i="18"/>
  <c r="K22" i="19"/>
  <c r="K20" i="17"/>
  <c r="I67" i="37"/>
  <c r="H67" i="37"/>
  <c r="E67" i="37"/>
  <c r="I64" i="37"/>
  <c r="H64" i="37"/>
  <c r="E64" i="37"/>
  <c r="J22" i="19" s="1"/>
  <c r="I61" i="37"/>
  <c r="H61" i="37"/>
  <c r="E61" i="37"/>
  <c r="G54" i="37"/>
  <c r="G66" i="37" s="1"/>
  <c r="G67" i="37" s="1"/>
  <c r="V17" i="18" s="1"/>
  <c r="F54" i="37"/>
  <c r="F66" i="37" s="1"/>
  <c r="F67" i="37" s="1"/>
  <c r="U17" i="18" s="1"/>
  <c r="G53" i="37"/>
  <c r="F53" i="37"/>
  <c r="F63" i="37" s="1"/>
  <c r="F64" i="37" s="1"/>
  <c r="U22" i="19" s="1"/>
  <c r="E48" i="37"/>
  <c r="D48" i="37"/>
  <c r="I36" i="37"/>
  <c r="H36" i="37"/>
  <c r="G36" i="37"/>
  <c r="V16" i="18" s="1"/>
  <c r="E36" i="37"/>
  <c r="J16" i="18" s="1"/>
  <c r="I33" i="37"/>
  <c r="H33" i="37"/>
  <c r="G33" i="37"/>
  <c r="E33" i="37"/>
  <c r="I29" i="37"/>
  <c r="H29" i="37"/>
  <c r="G29" i="37"/>
  <c r="V20" i="17" s="1"/>
  <c r="E29" i="37"/>
  <c r="D22" i="37"/>
  <c r="F35" i="37" s="1"/>
  <c r="F36" i="37" s="1"/>
  <c r="U16" i="18" s="1"/>
  <c r="D21" i="37"/>
  <c r="F31" i="37" s="1"/>
  <c r="J31" i="37" s="1"/>
  <c r="E16" i="37"/>
  <c r="D16" i="37"/>
  <c r="J17" i="18" l="1"/>
  <c r="E69" i="37"/>
  <c r="J35" i="37"/>
  <c r="J66" i="37"/>
  <c r="J67" i="37" s="1"/>
  <c r="W17" i="18" s="1"/>
  <c r="J36" i="37"/>
  <c r="W16" i="18" s="1"/>
  <c r="U29" i="18"/>
  <c r="M21" i="17"/>
  <c r="M21" i="19"/>
  <c r="P21" i="19" s="1"/>
  <c r="G63" i="37"/>
  <c r="G64" i="37" s="1"/>
  <c r="V22" i="19" s="1"/>
  <c r="F28" i="37"/>
  <c r="F32" i="37"/>
  <c r="F60" i="37"/>
  <c r="G60" i="37"/>
  <c r="P21" i="17" l="1"/>
  <c r="J63" i="37"/>
  <c r="J64" i="37" s="1"/>
  <c r="W22" i="19" s="1"/>
  <c r="F29" i="37"/>
  <c r="J28" i="37"/>
  <c r="G61" i="37"/>
  <c r="V21" i="17" s="1"/>
  <c r="F61" i="37"/>
  <c r="U21" i="17" s="1"/>
  <c r="J60" i="37"/>
  <c r="F33" i="37"/>
  <c r="J32" i="37"/>
  <c r="Q21" i="17"/>
  <c r="N21" i="17"/>
  <c r="O21" i="17"/>
  <c r="N21" i="19"/>
  <c r="Q21" i="19"/>
  <c r="O21" i="19"/>
  <c r="U18" i="17"/>
  <c r="J52" i="26"/>
  <c r="K18" i="17"/>
  <c r="J18" i="17"/>
  <c r="U12" i="19"/>
  <c r="AJ11" i="25"/>
  <c r="AJ10" i="25"/>
  <c r="AJ8" i="25"/>
  <c r="AJ7" i="25"/>
  <c r="AJ6" i="25"/>
  <c r="K17" i="17"/>
  <c r="K16" i="17"/>
  <c r="K17" i="19"/>
  <c r="K16" i="19"/>
  <c r="J16" i="19"/>
  <c r="K14" i="18"/>
  <c r="K13" i="18"/>
  <c r="J13" i="18"/>
  <c r="F5" i="27"/>
  <c r="I5" i="27" s="1"/>
  <c r="F4" i="27"/>
  <c r="I4" i="27" s="1"/>
  <c r="F3" i="27"/>
  <c r="I3" i="27" s="1"/>
  <c r="U18" i="19"/>
  <c r="L18" i="19"/>
  <c r="K18" i="19"/>
  <c r="I62" i="26"/>
  <c r="I66" i="26" s="1"/>
  <c r="W18" i="19" s="1"/>
  <c r="I59" i="26"/>
  <c r="J18" i="19" s="1"/>
  <c r="I25" i="26"/>
  <c r="J17" i="19" s="1"/>
  <c r="H14" i="26"/>
  <c r="H17" i="26" s="1"/>
  <c r="I14" i="26"/>
  <c r="I17" i="26" s="1"/>
  <c r="J14" i="26"/>
  <c r="J17" i="26" s="1"/>
  <c r="R21" i="17" l="1"/>
  <c r="J33" i="37"/>
  <c r="W20" i="19" s="1"/>
  <c r="U20" i="19"/>
  <c r="U34" i="19" s="1"/>
  <c r="J61" i="37"/>
  <c r="W21" i="17" s="1"/>
  <c r="U20" i="17"/>
  <c r="U35" i="17" s="1"/>
  <c r="J29" i="37"/>
  <c r="W20" i="17" s="1"/>
  <c r="M18" i="17"/>
  <c r="R18" i="17" s="1"/>
  <c r="M18" i="19"/>
  <c r="M16" i="17"/>
  <c r="P16" i="17" s="1"/>
  <c r="M16" i="19"/>
  <c r="P16" i="19" s="1"/>
  <c r="M17" i="19"/>
  <c r="P17" i="19" s="1"/>
  <c r="M13" i="18"/>
  <c r="P13" i="18" s="1"/>
  <c r="U13" i="17"/>
  <c r="U12" i="17"/>
  <c r="W11" i="19"/>
  <c r="U13" i="19"/>
  <c r="U11" i="19"/>
  <c r="AJ4" i="25"/>
  <c r="AI4" i="25"/>
  <c r="W13" i="19"/>
  <c r="P23" i="17"/>
  <c r="J23" i="17"/>
  <c r="E3" i="29"/>
  <c r="K23" i="17" s="1"/>
  <c r="R18" i="19" l="1"/>
  <c r="P18" i="19"/>
  <c r="M23" i="17"/>
  <c r="R16" i="19"/>
  <c r="U29" i="17"/>
  <c r="U28" i="19"/>
  <c r="J46" i="26"/>
  <c r="J50" i="26" s="1"/>
  <c r="W18" i="17" s="1"/>
  <c r="I46" i="26"/>
  <c r="W14" i="17"/>
  <c r="K14" i="17"/>
  <c r="J14" i="17"/>
  <c r="W14" i="19"/>
  <c r="K14" i="19"/>
  <c r="J14" i="19"/>
  <c r="K11" i="18"/>
  <c r="W11" i="18"/>
  <c r="J21" i="25"/>
  <c r="K21" i="25" s="1"/>
  <c r="U14" i="17" s="1"/>
  <c r="J19" i="25"/>
  <c r="K19" i="25" s="1"/>
  <c r="U14" i="19" s="1"/>
  <c r="J17" i="25"/>
  <c r="K17" i="25" s="1"/>
  <c r="U11" i="18" s="1"/>
  <c r="R23" i="17" l="1"/>
  <c r="M14" i="19"/>
  <c r="R14" i="19" s="1"/>
  <c r="M11" i="18"/>
  <c r="R11" i="18" s="1"/>
  <c r="M14" i="17"/>
  <c r="R14" i="17" s="1"/>
  <c r="W13" i="17" l="1"/>
  <c r="W12" i="17"/>
  <c r="W12" i="19" l="1"/>
  <c r="L7" i="19"/>
  <c r="K7" i="19"/>
  <c r="J7" i="19"/>
  <c r="H5" i="28"/>
  <c r="L7" i="17"/>
  <c r="K7" i="17"/>
  <c r="J7" i="17"/>
  <c r="I4" i="28"/>
  <c r="I5" i="28"/>
  <c r="T7" i="17" s="1"/>
  <c r="T24" i="17" s="1"/>
  <c r="F27" i="17" s="1"/>
  <c r="H4" i="28"/>
  <c r="L4" i="28"/>
  <c r="L5" i="28"/>
  <c r="M12" i="24"/>
  <c r="M13" i="24" s="1"/>
  <c r="N13" i="24"/>
  <c r="L13" i="24"/>
  <c r="U8" i="17" s="1"/>
  <c r="U41" i="17" s="1"/>
  <c r="U42" i="17" s="1"/>
  <c r="K13" i="24"/>
  <c r="M7" i="19" l="1"/>
  <c r="P7" i="19" s="1"/>
  <c r="M64" i="22"/>
  <c r="Q64" i="22" s="1"/>
  <c r="L64" i="22"/>
  <c r="P64" i="22" s="1"/>
  <c r="M38" i="22"/>
  <c r="Q38" i="22" s="1"/>
  <c r="L38" i="22"/>
  <c r="P38" i="22" s="1"/>
  <c r="M12" i="22"/>
  <c r="Q12" i="22" s="1"/>
  <c r="L12" i="22"/>
  <c r="P12" i="22" s="1"/>
  <c r="W64" i="22"/>
  <c r="V10" i="17" s="1"/>
  <c r="V24" i="17" s="1"/>
  <c r="V64" i="22"/>
  <c r="U10" i="17" s="1"/>
  <c r="W38" i="22"/>
  <c r="V9" i="19" s="1"/>
  <c r="V38" i="22"/>
  <c r="U9" i="19" s="1"/>
  <c r="V12" i="22"/>
  <c r="U8" i="18" s="1"/>
  <c r="U24" i="18" s="1"/>
  <c r="W12" i="22"/>
  <c r="V8" i="18" s="1"/>
  <c r="U35" i="18"/>
  <c r="U36" i="18" s="1"/>
  <c r="J25" i="26"/>
  <c r="J17" i="17" s="1"/>
  <c r="M17" i="17" s="1"/>
  <c r="P17" i="17" s="1"/>
  <c r="H25" i="26"/>
  <c r="T38" i="22" l="1"/>
  <c r="U30" i="17"/>
  <c r="U29" i="19"/>
  <c r="U36" i="17"/>
  <c r="U24" i="17"/>
  <c r="R16" i="17"/>
  <c r="J14" i="18"/>
  <c r="M14" i="18" s="1"/>
  <c r="P14" i="18" s="1"/>
  <c r="U64" i="22"/>
  <c r="T64" i="22"/>
  <c r="U38" i="22"/>
  <c r="U12" i="22"/>
  <c r="X12" i="22"/>
  <c r="W8" i="18" s="1"/>
  <c r="T12" i="22"/>
  <c r="X38" i="22"/>
  <c r="W9" i="19" s="1"/>
  <c r="K13" i="17"/>
  <c r="K12" i="17"/>
  <c r="V11" i="25"/>
  <c r="J13" i="17" s="1"/>
  <c r="V10" i="25"/>
  <c r="J12" i="17" s="1"/>
  <c r="M11" i="25"/>
  <c r="M10" i="25"/>
  <c r="K12" i="19"/>
  <c r="K13" i="19"/>
  <c r="K11" i="19"/>
  <c r="J11" i="19"/>
  <c r="V8" i="25"/>
  <c r="Z8" i="25" s="1"/>
  <c r="V7" i="25"/>
  <c r="J12" i="19" s="1"/>
  <c r="V6" i="25"/>
  <c r="Z6" i="25" s="1"/>
  <c r="V4" i="25"/>
  <c r="Z4" i="25" s="1"/>
  <c r="M8" i="25"/>
  <c r="M7" i="25"/>
  <c r="M6" i="25"/>
  <c r="K10" i="18"/>
  <c r="M4" i="25"/>
  <c r="K8" i="17"/>
  <c r="J8" i="17"/>
  <c r="J12" i="24"/>
  <c r="I14" i="24" s="1"/>
  <c r="I12" i="24"/>
  <c r="I13" i="24" s="1"/>
  <c r="J8" i="24"/>
  <c r="J9" i="24" s="1"/>
  <c r="I8" i="24"/>
  <c r="I9" i="24" s="1"/>
  <c r="J4" i="24"/>
  <c r="J5" i="24" s="1"/>
  <c r="I4" i="24"/>
  <c r="I5" i="24" s="1"/>
  <c r="K6" i="17"/>
  <c r="J6" i="17"/>
  <c r="K6" i="19"/>
  <c r="J6" i="19"/>
  <c r="K6" i="18"/>
  <c r="J6" i="18"/>
  <c r="J10" i="17"/>
  <c r="J9" i="19"/>
  <c r="E10" i="22"/>
  <c r="G10" i="22"/>
  <c r="H10" i="22"/>
  <c r="E36" i="22"/>
  <c r="G36" i="22"/>
  <c r="H36" i="22"/>
  <c r="F6" i="23"/>
  <c r="E6" i="23"/>
  <c r="F5" i="23"/>
  <c r="E5" i="23"/>
  <c r="F4" i="23"/>
  <c r="E4" i="23"/>
  <c r="J36" i="22" l="1"/>
  <c r="K36" i="22" s="1"/>
  <c r="R13" i="18"/>
  <c r="J6" i="24"/>
  <c r="J10" i="24"/>
  <c r="U35" i="19"/>
  <c r="U30" i="18"/>
  <c r="M6" i="18"/>
  <c r="P6" i="18" s="1"/>
  <c r="Z7" i="25"/>
  <c r="Z10" i="25"/>
  <c r="Z11" i="25"/>
  <c r="J10" i="18"/>
  <c r="M10" i="18" s="1"/>
  <c r="P10" i="18" s="1"/>
  <c r="X64" i="22"/>
  <c r="W10" i="17" s="1"/>
  <c r="W24" i="17" s="1"/>
  <c r="M13" i="17"/>
  <c r="M12" i="17"/>
  <c r="P12" i="17" s="1"/>
  <c r="J13" i="19"/>
  <c r="M13" i="19" s="1"/>
  <c r="P13" i="19" s="1"/>
  <c r="M12" i="19"/>
  <c r="M11" i="19"/>
  <c r="P11" i="19" s="1"/>
  <c r="J14" i="24"/>
  <c r="J10" i="22"/>
  <c r="K10" i="22" s="1"/>
  <c r="J8" i="18"/>
  <c r="E62" i="22"/>
  <c r="G62" i="22"/>
  <c r="H62" i="22"/>
  <c r="H63" i="22"/>
  <c r="G63" i="22"/>
  <c r="E63" i="22"/>
  <c r="H61" i="22"/>
  <c r="G61" i="22"/>
  <c r="E61" i="22"/>
  <c r="H60" i="22"/>
  <c r="G60" i="22"/>
  <c r="I60" i="22" s="1"/>
  <c r="E60" i="22"/>
  <c r="G59" i="22"/>
  <c r="I59" i="22" s="1"/>
  <c r="E59" i="22"/>
  <c r="G58" i="22"/>
  <c r="I58" i="22" s="1"/>
  <c r="E58" i="22"/>
  <c r="H57" i="22"/>
  <c r="G57" i="22"/>
  <c r="I57" i="22" s="1"/>
  <c r="E57" i="22"/>
  <c r="H56" i="22"/>
  <c r="G56" i="22"/>
  <c r="E56" i="22"/>
  <c r="H11" i="22"/>
  <c r="G11" i="22"/>
  <c r="E11" i="22"/>
  <c r="H9" i="22"/>
  <c r="G9" i="22"/>
  <c r="I9" i="22" s="1"/>
  <c r="E9" i="22"/>
  <c r="H8" i="22"/>
  <c r="G8" i="22"/>
  <c r="I8" i="22" s="1"/>
  <c r="E8" i="22"/>
  <c r="H7" i="22"/>
  <c r="G7" i="22"/>
  <c r="I7" i="22" s="1"/>
  <c r="E7" i="22"/>
  <c r="H6" i="22"/>
  <c r="G6" i="22"/>
  <c r="I6" i="22" s="1"/>
  <c r="E6" i="22"/>
  <c r="H5" i="22"/>
  <c r="G5" i="22"/>
  <c r="E5" i="22"/>
  <c r="H4" i="22"/>
  <c r="G4" i="22"/>
  <c r="E4" i="22"/>
  <c r="H35" i="22"/>
  <c r="G35" i="22"/>
  <c r="E35" i="22"/>
  <c r="H37" i="22"/>
  <c r="G37" i="22"/>
  <c r="H34" i="22"/>
  <c r="G34" i="22"/>
  <c r="H33" i="22"/>
  <c r="G33" i="22"/>
  <c r="H32" i="22"/>
  <c r="G32" i="22"/>
  <c r="H31" i="22"/>
  <c r="G31" i="22"/>
  <c r="H30" i="22"/>
  <c r="G30" i="22"/>
  <c r="E37" i="22"/>
  <c r="E34" i="22"/>
  <c r="E33" i="22"/>
  <c r="E32" i="22"/>
  <c r="E31" i="22"/>
  <c r="E30" i="22"/>
  <c r="M22" i="19"/>
  <c r="P22" i="19" s="1"/>
  <c r="N12" i="19" l="1"/>
  <c r="P12" i="19"/>
  <c r="O13" i="17"/>
  <c r="P13" i="17"/>
  <c r="N13" i="17"/>
  <c r="O12" i="19"/>
  <c r="M20" i="19"/>
  <c r="N12" i="17"/>
  <c r="O12" i="17"/>
  <c r="N11" i="19"/>
  <c r="O10" i="18"/>
  <c r="N10" i="18"/>
  <c r="O11" i="19"/>
  <c r="O13" i="19"/>
  <c r="N13" i="19"/>
  <c r="E38" i="22"/>
  <c r="G38" i="22"/>
  <c r="G12" i="22"/>
  <c r="E64" i="22"/>
  <c r="E12" i="22"/>
  <c r="H12" i="22"/>
  <c r="H38" i="22"/>
  <c r="I5" i="22"/>
  <c r="I12" i="22" s="1"/>
  <c r="J33" i="22"/>
  <c r="J62" i="22"/>
  <c r="K62" i="22" s="1"/>
  <c r="I64" i="22"/>
  <c r="I31" i="22"/>
  <c r="I38" i="22" s="1"/>
  <c r="J11" i="22"/>
  <c r="K11" i="22" s="1"/>
  <c r="H64" i="22"/>
  <c r="G64" i="22"/>
  <c r="J7" i="22"/>
  <c r="J60" i="22"/>
  <c r="J58" i="22"/>
  <c r="J30" i="22"/>
  <c r="J35" i="22"/>
  <c r="J6" i="22"/>
  <c r="J37" i="22"/>
  <c r="K37" i="22" s="1"/>
  <c r="J4" i="22"/>
  <c r="K4" i="22" s="1"/>
  <c r="J8" i="22"/>
  <c r="J63" i="22"/>
  <c r="K63" i="22" s="1"/>
  <c r="J57" i="22"/>
  <c r="J56" i="22"/>
  <c r="J59" i="22"/>
  <c r="J61" i="22"/>
  <c r="J9" i="22"/>
  <c r="J34" i="22"/>
  <c r="J32" i="22"/>
  <c r="M20" i="17"/>
  <c r="O22" i="19"/>
  <c r="Q22" i="19"/>
  <c r="U18" i="18"/>
  <c r="T18" i="18"/>
  <c r="M17" i="18"/>
  <c r="M16" i="18"/>
  <c r="J5" i="22" l="1"/>
  <c r="J12" i="22" s="1"/>
  <c r="K23" i="22" s="1"/>
  <c r="P17" i="18"/>
  <c r="Q20" i="19"/>
  <c r="R13" i="17"/>
  <c r="R11" i="19"/>
  <c r="R12" i="17"/>
  <c r="R10" i="18"/>
  <c r="R12" i="19"/>
  <c r="O20" i="19"/>
  <c r="P20" i="19"/>
  <c r="R13" i="19"/>
  <c r="P20" i="17"/>
  <c r="J31" i="22"/>
  <c r="K64" i="22"/>
  <c r="J64" i="22"/>
  <c r="K75" i="22" s="1"/>
  <c r="Q20" i="17"/>
  <c r="N20" i="17"/>
  <c r="O20" i="17"/>
  <c r="N20" i="19"/>
  <c r="P16" i="18"/>
  <c r="O16" i="18"/>
  <c r="N16" i="18"/>
  <c r="O17" i="18"/>
  <c r="Q17" i="18"/>
  <c r="N17" i="18"/>
  <c r="Q16" i="18"/>
  <c r="N22" i="19"/>
  <c r="R22" i="19" s="1"/>
  <c r="K12" i="22" l="1"/>
  <c r="R20" i="19"/>
  <c r="R17" i="18"/>
  <c r="R20" i="17"/>
  <c r="J65" i="22"/>
  <c r="K10" i="17" s="1"/>
  <c r="M10" i="17" s="1"/>
  <c r="P10" i="17" s="1"/>
  <c r="K69" i="22"/>
  <c r="J13" i="22"/>
  <c r="K8" i="18" s="1"/>
  <c r="M8" i="18" s="1"/>
  <c r="P8" i="18" s="1"/>
  <c r="K38" i="22"/>
  <c r="J38" i="22"/>
  <c r="K49" i="22" s="1"/>
  <c r="N18" i="18"/>
  <c r="F4" i="7" s="1"/>
  <c r="R16" i="18"/>
  <c r="K24" i="22" l="1"/>
  <c r="J39" i="22"/>
  <c r="K9" i="19" s="1"/>
  <c r="M9" i="19" s="1"/>
  <c r="P9" i="19" s="1"/>
  <c r="K43" i="22"/>
  <c r="P18" i="18"/>
  <c r="H4" i="7" s="1"/>
  <c r="O8" i="18"/>
  <c r="O18" i="18" s="1"/>
  <c r="G4" i="7" s="1"/>
  <c r="O10" i="17"/>
  <c r="O24" i="17" s="1"/>
  <c r="G6" i="7" s="1"/>
  <c r="D6" i="7"/>
  <c r="N24" i="17"/>
  <c r="F6" i="7" s="1"/>
  <c r="S23" i="19"/>
  <c r="F26" i="19" s="1"/>
  <c r="T23" i="19"/>
  <c r="V23" i="19"/>
  <c r="D5" i="7" s="1"/>
  <c r="N23" i="19"/>
  <c r="F5" i="7" s="1"/>
  <c r="S18" i="18"/>
  <c r="F22" i="18" s="1"/>
  <c r="V18" i="18"/>
  <c r="D4" i="7" s="1"/>
  <c r="W18" i="18"/>
  <c r="O9" i="19" l="1"/>
  <c r="O23" i="19" s="1"/>
  <c r="G5" i="7" s="1"/>
  <c r="K50" i="22"/>
  <c r="K76" i="22"/>
  <c r="D7" i="7"/>
  <c r="E4" i="7"/>
  <c r="E6" i="7"/>
  <c r="C4" i="7"/>
  <c r="K4" i="7" l="1"/>
  <c r="K5" i="7"/>
  <c r="K6" i="7"/>
  <c r="N12" i="7" s="1"/>
  <c r="K7" i="7" l="1"/>
  <c r="M8" i="17"/>
  <c r="R8" i="17" s="1"/>
  <c r="R10" i="17" l="1"/>
  <c r="Q24" i="17"/>
  <c r="I6" i="7" s="1"/>
  <c r="R8" i="18"/>
  <c r="Q18" i="18"/>
  <c r="I4" i="7" s="1"/>
  <c r="R9" i="19"/>
  <c r="Q23" i="19"/>
  <c r="I5" i="7" s="1"/>
  <c r="M7" i="17"/>
  <c r="P7" i="17" s="1"/>
  <c r="M6" i="19"/>
  <c r="P6" i="19" s="1"/>
  <c r="M18" i="18"/>
  <c r="C6" i="7"/>
  <c r="M6" i="17"/>
  <c r="P6" i="17" s="1"/>
  <c r="R7" i="17" l="1"/>
  <c r="P24" i="17"/>
  <c r="H6" i="7" s="1"/>
  <c r="R6" i="17"/>
  <c r="M24" i="17"/>
  <c r="R6" i="19"/>
  <c r="M23" i="19"/>
  <c r="R7" i="19"/>
  <c r="P23" i="19"/>
  <c r="H5" i="7" s="1"/>
  <c r="R6" i="18"/>
  <c r="C12" i="7"/>
  <c r="R24" i="17" l="1"/>
  <c r="R23" i="19"/>
  <c r="F25" i="19" s="1"/>
  <c r="F27" i="19" s="1"/>
  <c r="R18" i="18"/>
  <c r="L7" i="7"/>
  <c r="F26" i="17" l="1"/>
  <c r="F28" i="17" s="1"/>
  <c r="F21" i="18"/>
  <c r="F23" i="18" s="1"/>
  <c r="J6" i="7"/>
  <c r="M6" i="7" s="1"/>
  <c r="J5" i="7"/>
  <c r="M5" i="7" s="1"/>
  <c r="J4" i="7"/>
  <c r="M4" i="7" s="1"/>
  <c r="I7" i="7"/>
  <c r="M7" i="7" l="1"/>
  <c r="N13" i="7" s="1"/>
  <c r="N14" i="7" s="1"/>
  <c r="F7" i="7" l="1"/>
  <c r="H7" i="7" l="1"/>
  <c r="G7" i="7"/>
  <c r="J7" i="7" l="1"/>
  <c r="N11" i="7" s="1"/>
  <c r="U41" i="19"/>
  <c r="U23" i="19" l="1"/>
  <c r="C5" i="7" s="1"/>
  <c r="C7" i="7" s="1"/>
  <c r="W23" i="19"/>
  <c r="E5" i="7" s="1"/>
  <c r="E7" i="7" s="1"/>
</calcChain>
</file>

<file path=xl/comments1.xml><?xml version="1.0" encoding="utf-8"?>
<comments xmlns="http://schemas.openxmlformats.org/spreadsheetml/2006/main">
  <authors>
    <author>Sharon Thomas</author>
  </authors>
  <commentList>
    <comment ref="L16" authorId="0" shapeId="0">
      <text>
        <r>
          <rPr>
            <b/>
            <sz val="9"/>
            <color indexed="81"/>
            <rFont val="Tahoma"/>
            <family val="2"/>
          </rPr>
          <t>Sharon Thomas:</t>
        </r>
        <r>
          <rPr>
            <sz val="9"/>
            <color indexed="81"/>
            <rFont val="Tahoma"/>
            <family val="2"/>
          </rPr>
          <t xml:space="preserve">
Using $3,250 per district direction instead of $4,500 which was quote from mfr. Representative.
</t>
        </r>
      </text>
    </comment>
  </commentList>
</comments>
</file>

<file path=xl/comments2.xml><?xml version="1.0" encoding="utf-8"?>
<comments xmlns="http://schemas.openxmlformats.org/spreadsheetml/2006/main">
  <authors>
    <author>Cassie Baugher</author>
  </authors>
  <commentList>
    <comment ref="U6" authorId="0" shapeId="0">
      <text>
        <r>
          <rPr>
            <b/>
            <sz val="9"/>
            <color indexed="81"/>
            <rFont val="Tahoma"/>
            <family val="2"/>
          </rPr>
          <t>Cassie Baugher:</t>
        </r>
        <r>
          <rPr>
            <sz val="9"/>
            <color indexed="81"/>
            <rFont val="Tahoma"/>
            <family val="2"/>
          </rPr>
          <t xml:space="preserve">
Reduced by 594 kWh to meet cap</t>
        </r>
      </text>
    </comment>
  </commentList>
</comments>
</file>

<file path=xl/comments3.xml><?xml version="1.0" encoding="utf-8"?>
<comments xmlns="http://schemas.openxmlformats.org/spreadsheetml/2006/main">
  <authors>
    <author>Sharon Thomas</author>
  </authors>
  <commentList>
    <comment ref="M10" authorId="0" shapeId="0">
      <text>
        <r>
          <rPr>
            <b/>
            <sz val="9"/>
            <color indexed="81"/>
            <rFont val="Tahoma"/>
            <family val="2"/>
          </rPr>
          <t>Sharon Thomas:</t>
        </r>
        <r>
          <rPr>
            <sz val="9"/>
            <color indexed="81"/>
            <rFont val="Tahoma"/>
            <family val="2"/>
          </rPr>
          <t xml:space="preserve">
Installing contractor cost per kW audit. Includes material cost/labor sub O and P, mark up, taxes, programming, start up, testing etc.
</t>
        </r>
      </text>
    </comment>
  </commentList>
</comments>
</file>

<file path=xl/sharedStrings.xml><?xml version="1.0" encoding="utf-8"?>
<sst xmlns="http://schemas.openxmlformats.org/spreadsheetml/2006/main" count="4588" uniqueCount="799">
  <si>
    <t>Area</t>
  </si>
  <si>
    <t>Scope</t>
  </si>
  <si>
    <t>ECM #</t>
  </si>
  <si>
    <t>ECM Description</t>
  </si>
  <si>
    <t>Picture</t>
  </si>
  <si>
    <t>Next Action</t>
  </si>
  <si>
    <t>Who for Next Action</t>
  </si>
  <si>
    <t>Quantity</t>
  </si>
  <si>
    <t>Other Soft Cost</t>
  </si>
  <si>
    <t>SIR</t>
  </si>
  <si>
    <t>P39 Calc</t>
  </si>
  <si>
    <t>$$</t>
  </si>
  <si>
    <t>TOTALS</t>
  </si>
  <si>
    <t>Annual Electric Savings
(kWh)</t>
  </si>
  <si>
    <t>Annual Natural Gas Savings
(therms)</t>
  </si>
  <si>
    <t>Annual Cost Energy Savings
($)</t>
  </si>
  <si>
    <t>Measure Cost
($)</t>
  </si>
  <si>
    <t>EEM SIR</t>
  </si>
  <si>
    <t>TOTALS:</t>
  </si>
  <si>
    <t>Bid Activities
PM / CM Soft Cost</t>
  </si>
  <si>
    <t>Direct Construction Sub-Total</t>
  </si>
  <si>
    <t>A&amp;E &amp; Commissioning
Soft Cost</t>
  </si>
  <si>
    <t>Total Measure Cost</t>
  </si>
  <si>
    <t>Labor</t>
  </si>
  <si>
    <t>Product</t>
  </si>
  <si>
    <t>kWh</t>
  </si>
  <si>
    <t>Annual Energy Savings</t>
  </si>
  <si>
    <t>Non Repayable Funds (Avoided Labor Cost)</t>
  </si>
  <si>
    <t>Audit/Survey</t>
  </si>
  <si>
    <t>Mat'l Cost</t>
  </si>
  <si>
    <t>per fixture</t>
  </si>
  <si>
    <t>Annual Electric Savings</t>
  </si>
  <si>
    <t>Contingency / Escalation</t>
  </si>
  <si>
    <t>Other Soft Cost
DSA Inspector</t>
  </si>
  <si>
    <t>Campus</t>
  </si>
  <si>
    <t>Burchfield Elementary School</t>
  </si>
  <si>
    <t>Colusa High School</t>
  </si>
  <si>
    <t>Year 2</t>
  </si>
  <si>
    <t>Year 1 Prop 39 Funding / Planning $$</t>
  </si>
  <si>
    <t>Energy Conservation Measures</t>
  </si>
  <si>
    <t>Implement "automatic shutdown software on all computers.</t>
  </si>
  <si>
    <t>Software and Programming</t>
  </si>
  <si>
    <t>therms</t>
  </si>
  <si>
    <t>Annual Gas Savings</t>
  </si>
  <si>
    <t>Non Repayable Funding</t>
  </si>
  <si>
    <t>Avoided Labor Costs or Rebates</t>
  </si>
  <si>
    <t>Library - Computers</t>
  </si>
  <si>
    <t>1a</t>
  </si>
  <si>
    <t>1b</t>
  </si>
  <si>
    <t>Kitchen</t>
  </si>
  <si>
    <t>PVC strip curtains for walk in freezer and refrigerator</t>
  </si>
  <si>
    <t>PVC strip curtains for walk in  refrigerator</t>
  </si>
  <si>
    <t>Installation of PVC strip curtains at door to walk in refrigerator</t>
  </si>
  <si>
    <t>Installation of PVC strip curtains at door to walk in freezer and refrigerator</t>
  </si>
  <si>
    <t xml:space="preserve">
District Site Summary</t>
  </si>
  <si>
    <t>1c</t>
  </si>
  <si>
    <t>Occupancy Sensor Controller for Vending Machine</t>
  </si>
  <si>
    <t>Installation of occupancy sensor to shut down cold drink vending machine during non-occupancy periods.</t>
  </si>
  <si>
    <t>Vending Miser</t>
  </si>
  <si>
    <t>Replacement of all programmable thermostats with Pelican wireless thermostats including door sensors to cycle off HVAC equipment when door is left open.</t>
  </si>
  <si>
    <t>Pelican Wireless Thermostats/Door Sensors</t>
  </si>
  <si>
    <t>Check audit for specific rooms.</t>
  </si>
  <si>
    <t>3a</t>
  </si>
  <si>
    <t>3b</t>
  </si>
  <si>
    <t>Lighting Exterior -Replacement of exterior High Pressure Sodium (HPS) fixtures with LED</t>
  </si>
  <si>
    <t>Lighting Exterior -Replacement of exterior Metal Halide (MH) fixtures with LED</t>
  </si>
  <si>
    <t>3c</t>
  </si>
  <si>
    <t>Exterior Lighting Controls</t>
  </si>
  <si>
    <t>Exterior Smart Controls</t>
  </si>
  <si>
    <t>3d</t>
  </si>
  <si>
    <t>MH 100W to LED 42W</t>
  </si>
  <si>
    <t>MH 400W to LED 130W</t>
  </si>
  <si>
    <t>4a</t>
  </si>
  <si>
    <t>Interior Lighting Lamp Replacement</t>
  </si>
  <si>
    <t>Replace T8 32W lamps with T8 28W lamps.  Some U-type 32W to be replaced with 25W.</t>
  </si>
  <si>
    <t>Incentives / Rebates</t>
  </si>
  <si>
    <t>Total Project Cost</t>
  </si>
  <si>
    <t>4b</t>
  </si>
  <si>
    <t>Replace screw - in incandescent and compact fluroescent lamps with LED based screw in lamps.</t>
  </si>
  <si>
    <t>HVAC Pkg Gas/Elec Replacements</t>
  </si>
  <si>
    <t>5a</t>
  </si>
  <si>
    <t>Egling Middle School</t>
  </si>
  <si>
    <t>5b</t>
  </si>
  <si>
    <t>Replace all-electric wall-mount heat pumps with high efficiency units with economizers</t>
  </si>
  <si>
    <t>Replace gas-heating wall-mount heat pumps with high efficiency units with economizers</t>
  </si>
  <si>
    <t>Portables</t>
  </si>
  <si>
    <t>Approx. Years 3,4 &amp; 5 (3 x $112,836)</t>
  </si>
  <si>
    <t>Approximate Available Funding</t>
  </si>
  <si>
    <t>DSA Inspector 
1.5%</t>
  </si>
  <si>
    <t>Digital Energy - Bright Schools</t>
  </si>
  <si>
    <t>Colusa USD P39</t>
  </si>
  <si>
    <t>Location</t>
  </si>
  <si>
    <t>Nominal Tons</t>
  </si>
  <si>
    <t>Qty</t>
  </si>
  <si>
    <t>Colusa HS</t>
  </si>
  <si>
    <t>Egling MS</t>
  </si>
  <si>
    <t>P-2, P-3 (portables)</t>
  </si>
  <si>
    <t>Burchfield ES</t>
  </si>
  <si>
    <t>Rm 19-23 (portables)</t>
  </si>
  <si>
    <t>P-5 to P-7 (portables)</t>
  </si>
  <si>
    <t>Rm 3-7, 24-25 (portables)</t>
  </si>
  <si>
    <t>Delta</t>
  </si>
  <si>
    <t>Annual Natural Gas Savings</t>
  </si>
  <si>
    <t>therm</t>
  </si>
  <si>
    <t>N/A</t>
  </si>
  <si>
    <t xml:space="preserve"> </t>
  </si>
  <si>
    <t>E-3</t>
  </si>
  <si>
    <t>M-5</t>
  </si>
  <si>
    <t>L-6A</t>
  </si>
  <si>
    <t>L-6B</t>
  </si>
  <si>
    <t>L-1</t>
  </si>
  <si>
    <t>L-2</t>
  </si>
  <si>
    <t>M-1a</t>
  </si>
  <si>
    <t>CPM ECM</t>
  </si>
  <si>
    <t>Digital Energy Proj#</t>
  </si>
  <si>
    <t>Pelican Wireless Thermostats</t>
  </si>
  <si>
    <t>Pelican Gateway (1/Site typically)</t>
  </si>
  <si>
    <t>Programming, Start-up and Testing</t>
  </si>
  <si>
    <t>Material Cost</t>
  </si>
  <si>
    <t>Labor Cost</t>
  </si>
  <si>
    <t>Demo existing thermostats</t>
  </si>
  <si>
    <t>Total UnitCost</t>
  </si>
  <si>
    <t>Per Unit</t>
  </si>
  <si>
    <t>Direct Total Cost</t>
  </si>
  <si>
    <t>Site</t>
  </si>
  <si>
    <t>CHS</t>
  </si>
  <si>
    <t>Burchfield Primary</t>
  </si>
  <si>
    <t>General Contractor O&amp;P</t>
  </si>
  <si>
    <t>Construction with Contingency</t>
  </si>
  <si>
    <t>Total Project Budget</t>
  </si>
  <si>
    <t>Labor Cost from DigitaL Energy</t>
  </si>
  <si>
    <t>Material Cost for Pelican Equipment came from RSD</t>
  </si>
  <si>
    <t>Pelican Extended Repeater (1/Bldg Typically)</t>
  </si>
  <si>
    <t>Pelican Wireless Door Sensor</t>
  </si>
  <si>
    <t>Pelican Subscription Price/Stat/Year</t>
  </si>
  <si>
    <t>Cost/Unit</t>
  </si>
  <si>
    <t>Taxes (7.5%)</t>
  </si>
  <si>
    <t>Wall Architectural Modifications</t>
  </si>
  <si>
    <t>Power-Down Program</t>
  </si>
  <si>
    <t>Rebate/ Computer</t>
  </si>
  <si>
    <t>Total Cost/School</t>
  </si>
  <si>
    <t>% Rebate to Cost</t>
  </si>
  <si>
    <t>School</t>
  </si>
  <si>
    <t>Est Software Cost/ Computer</t>
  </si>
  <si>
    <t>Computers Qty</t>
  </si>
  <si>
    <t>Cost per Room</t>
  </si>
  <si>
    <t>Softcost (10% of Total Direct)</t>
  </si>
  <si>
    <t>VendingMiser</t>
  </si>
  <si>
    <t>Vending Qty</t>
  </si>
  <si>
    <t>Fixture Type</t>
  </si>
  <si>
    <t xml:space="preserve">General </t>
  </si>
  <si>
    <t>Current</t>
  </si>
  <si>
    <t>Post Installation</t>
  </si>
  <si>
    <t>Savings</t>
  </si>
  <si>
    <t>Bldg/Space</t>
  </si>
  <si>
    <t>Space</t>
  </si>
  <si>
    <t>Area Description</t>
  </si>
  <si>
    <t>Current Fixt Code</t>
  </si>
  <si>
    <t>Fixt Qty</t>
  </si>
  <si>
    <t>Fixt Type</t>
  </si>
  <si>
    <t>Bulb Type</t>
  </si>
  <si>
    <t>#Bulbs per Fixture</t>
  </si>
  <si>
    <t>Watts per Bulb</t>
  </si>
  <si>
    <t>Total Watts/Line Item W/out Ballast</t>
  </si>
  <si>
    <t>Ops Hrs/ Year</t>
  </si>
  <si>
    <t>Manual Switch?</t>
  </si>
  <si>
    <t>Photo Cell?</t>
  </si>
  <si>
    <t>Time Clock?</t>
  </si>
  <si>
    <t>Time Clock Schedule</t>
  </si>
  <si>
    <t>EMS?</t>
  </si>
  <si>
    <t>Pre KWh/yr</t>
  </si>
  <si>
    <t>New Fixt Code</t>
  </si>
  <si>
    <t>Post Fixt Qty</t>
  </si>
  <si>
    <t>Watts/ Bulb WITH Ballast</t>
  </si>
  <si>
    <t>Watts/Per Line Item</t>
  </si>
  <si>
    <t>Cost with Labor per Fixture</t>
  </si>
  <si>
    <t>Cost for all Fixtures per Line Item</t>
  </si>
  <si>
    <t>Ops Hrs/Year</t>
  </si>
  <si>
    <t>kWh/Yr</t>
  </si>
  <si>
    <t>Notes</t>
  </si>
  <si>
    <t>MH</t>
  </si>
  <si>
    <t>Lithonia DSXF3</t>
  </si>
  <si>
    <t>LED</t>
  </si>
  <si>
    <t>Rebate/ Fixture</t>
  </si>
  <si>
    <t>No PG&amp;E Rebates available - they were formerly.</t>
  </si>
  <si>
    <t>HPS</t>
  </si>
  <si>
    <t xml:space="preserve">Lighting Exterior -Replacement of exterior High Pressure Sodium (HPS) fixtures with LED </t>
  </si>
  <si>
    <t>WP?</t>
  </si>
  <si>
    <t>FL?</t>
  </si>
  <si>
    <t>Labor of $125 included in Material Cost</t>
  </si>
  <si>
    <t xml:space="preserve"> Cree XSPW - 42W</t>
  </si>
  <si>
    <t>WP-?</t>
  </si>
  <si>
    <t>Cree XSPW - 25W</t>
  </si>
  <si>
    <t>FL-?</t>
  </si>
  <si>
    <r>
      <t xml:space="preserve">MH 400W to LED 148W </t>
    </r>
    <r>
      <rPr>
        <strike/>
        <sz val="10"/>
        <rFont val="Arial"/>
        <family val="2"/>
      </rPr>
      <t>130W</t>
    </r>
  </si>
  <si>
    <t>HPS 150W to LED 42W</t>
  </si>
  <si>
    <t>4a-i</t>
  </si>
  <si>
    <t xml:space="preserve">Replace T8 32W lamps with LED lamps.  </t>
  </si>
  <si>
    <t>LED Re-lamping Ballast Replacement (25%)</t>
  </si>
  <si>
    <t xml:space="preserve">                    Legend
F-Tube = Florescent Tube
U-Tube = Bipin U-Bent Tube
C-Tube = Circline Tube
CSM = Ceiling Surface Mount
WSM = Wall Surface Mount</t>
  </si>
  <si>
    <t>Watts</t>
  </si>
  <si>
    <t># Lamps</t>
  </si>
  <si>
    <t>Size</t>
  </si>
  <si>
    <t>Mount</t>
  </si>
  <si>
    <t>Type Bulb</t>
  </si>
  <si>
    <t>Current Item</t>
  </si>
  <si>
    <t>New Item</t>
  </si>
  <si>
    <t>kW Saved</t>
  </si>
  <si>
    <t>kWh Saved</t>
  </si>
  <si>
    <t>Rate ($kWh)</t>
  </si>
  <si>
    <t>T-8 32W</t>
  </si>
  <si>
    <t>District Labor</t>
  </si>
  <si>
    <t>Ballast (25%)</t>
  </si>
  <si>
    <t># Units</t>
  </si>
  <si>
    <t>ECM-4a-i</t>
  </si>
  <si>
    <t>Rebate/Unit</t>
  </si>
  <si>
    <t>Total Rebate</t>
  </si>
  <si>
    <t>Annual Electric Savings (kWh)</t>
  </si>
  <si>
    <t>Annual Energy Savings ($)</t>
  </si>
  <si>
    <t>Labor is Included in Material Cost</t>
  </si>
  <si>
    <t>Inc in Mat</t>
  </si>
  <si>
    <t>Labor is Included in Materials</t>
  </si>
  <si>
    <t>Labor Included in Materials Cost</t>
  </si>
  <si>
    <t>Total Rebate/
School</t>
  </si>
  <si>
    <t>Annual Electrical Savings (kWh)</t>
  </si>
  <si>
    <t>Rate</t>
  </si>
  <si>
    <t>Existing PC Energy Consumption ($)</t>
  </si>
  <si>
    <t>Existing PC Consumption (kWh)</t>
  </si>
  <si>
    <t>Rebates (No longer avaiable for this type project)</t>
  </si>
  <si>
    <t>Existing Energy Consumption (kWh)</t>
  </si>
  <si>
    <t>Gas Rate ($)</t>
  </si>
  <si>
    <t>Electrical Rate ($)</t>
  </si>
  <si>
    <t>Annual Gas Savings ($)</t>
  </si>
  <si>
    <t>Existing Energy Consumption (Therms)</t>
  </si>
  <si>
    <t>Formula Driven</t>
  </si>
  <si>
    <t>Proposed Energy Consumption (kWh)</t>
  </si>
  <si>
    <t>Proposed Energy Consumption (Therms)</t>
  </si>
  <si>
    <t>Existing Energy Consumption ($/kWh)</t>
  </si>
  <si>
    <t>Existing Energy Consumption ($/Therms)</t>
  </si>
  <si>
    <t>Proposed Energy Consumption ($/kWh)</t>
  </si>
  <si>
    <t>Proposed Energy Consumption ($/Therms)</t>
  </si>
  <si>
    <t>Lookup Rate Sheet</t>
  </si>
  <si>
    <t>Elec Rate</t>
  </si>
  <si>
    <t>Gas Rate</t>
  </si>
  <si>
    <t>Annual Eelctrical Savings ($)</t>
  </si>
  <si>
    <t>Construction Contingency</t>
  </si>
  <si>
    <t>Annual Eelctrical Savings (kWh)</t>
  </si>
  <si>
    <t>Annual Gas Savings (Therms)</t>
  </si>
  <si>
    <t>Pulled from RateTable Tab</t>
  </si>
  <si>
    <t>Total Rebate/ School</t>
  </si>
  <si>
    <t>Est Unit Cost/ Machine</t>
  </si>
  <si>
    <t>Rebate/ Machine</t>
  </si>
  <si>
    <t>Energy Cost Savings</t>
  </si>
  <si>
    <t>School Site</t>
  </si>
  <si>
    <t>Lights On?</t>
  </si>
  <si>
    <t>Building or Space#</t>
  </si>
  <si>
    <t>Occupoancy Sensor?</t>
  </si>
  <si>
    <t>PVC Strip Curtains for Walk-in Freezers and Refrigeratros</t>
  </si>
  <si>
    <t>Rebate/ Install</t>
  </si>
  <si>
    <t>Unit Qty</t>
  </si>
  <si>
    <t>Labor/ Unit</t>
  </si>
  <si>
    <t>PVC Strips added to Walk-ins</t>
  </si>
  <si>
    <t>E-1</t>
  </si>
  <si>
    <t>VendingMisers</t>
  </si>
  <si>
    <t>E-2</t>
  </si>
  <si>
    <t>LED-Tube 14W</t>
  </si>
  <si>
    <t>Proposed Measure Costs</t>
  </si>
  <si>
    <t>Minus non-Repayable Funds</t>
  </si>
  <si>
    <t>Prop 39 Share</t>
  </si>
  <si>
    <t xml:space="preserve">Skylights </t>
  </si>
  <si>
    <t>Data Pulled from Digital Energy Audit</t>
  </si>
  <si>
    <t>Labor will be part of Fixture Install</t>
  </si>
  <si>
    <t>Control QYT</t>
  </si>
  <si>
    <t>Control Cost/Unit</t>
  </si>
  <si>
    <t>Electricity Rate</t>
  </si>
  <si>
    <t>Control Cost Energy Savings</t>
  </si>
  <si>
    <t>Annual Electrical Savings</t>
  </si>
  <si>
    <t>Pole Light</t>
  </si>
  <si>
    <t>Proposed Watts Per Fixture</t>
  </si>
  <si>
    <t>Hours of Operation Now</t>
  </si>
  <si>
    <t>Retrofit Savings (kWh)</t>
  </si>
  <si>
    <t>Hours of Operation After</t>
  </si>
  <si>
    <t>Control Savings (kWh)</t>
  </si>
  <si>
    <t>WP ?</t>
  </si>
  <si>
    <t>Hubbel-SCP</t>
  </si>
  <si>
    <t>Labor included with Fixture</t>
  </si>
  <si>
    <t>Proposed</t>
  </si>
  <si>
    <t>2-F28T8</t>
  </si>
  <si>
    <t>Hours of Operation</t>
  </si>
  <si>
    <t>No Savings to this, just cost</t>
  </si>
  <si>
    <t>ECM 6 Skylights in CHS Gymnasium</t>
  </si>
  <si>
    <t>Materials (Skylight + Security Grill)</t>
  </si>
  <si>
    <t>Tax/
Contingency</t>
  </si>
  <si>
    <t>Gymnasium</t>
  </si>
  <si>
    <t>4x4</t>
  </si>
  <si>
    <t>Energy Savings</t>
  </si>
  <si>
    <t xml:space="preserve">Boys &amp; Girls Locker-rooms, Kitchen, Custodial, Service Area, Boys &amp; Girls Coaches/Trainer Areas </t>
  </si>
  <si>
    <t>ECM 3a</t>
  </si>
  <si>
    <t>ECM 3b</t>
  </si>
  <si>
    <t>ECM 3c</t>
  </si>
  <si>
    <t>ECM 3d</t>
  </si>
  <si>
    <t>ECM - Exterior SMART Controls Digital / Energy Project# L-6B</t>
  </si>
  <si>
    <t>ECM 3a-3c Exterior Fixture Replacement /  Digital Energy Project# L-6A</t>
  </si>
  <si>
    <t>Per Pelican Unit</t>
  </si>
  <si>
    <t>ECM 1a / Digital Energy Project E3 - Networked Software Desktop Power-down Program</t>
  </si>
  <si>
    <t>ECM 2 / Digital Energy Project M5 - Pelican Wireless HVAC Controls and EMS</t>
  </si>
  <si>
    <t>ECM - 4a &amp; 4b / Digital Energy Project L1 &amp; L2 -  Colusa Interior Lighting Counts and Wattages</t>
  </si>
  <si>
    <t>Opeating Hours</t>
  </si>
  <si>
    <t>Operating Hours</t>
  </si>
  <si>
    <t>Egling MS - Band Room</t>
  </si>
  <si>
    <t>Retro Lighting kWh Saved/Line Item</t>
  </si>
  <si>
    <t>Switched from 130W noted in Audit to 148W, so 12% less savings than shown on audit</t>
  </si>
  <si>
    <t>Rebate is POS &amp; included in cost of lamp</t>
  </si>
  <si>
    <t>Includes Operating Hour Detail</t>
  </si>
  <si>
    <t>More fixtures for Egling &amp; Burchfield had some already T828W so not proposed for T8 Relamping above</t>
  </si>
  <si>
    <t>4c</t>
  </si>
  <si>
    <t>Interior Lighting Lamp Replacment</t>
  </si>
  <si>
    <t>Classrroms: 102,101,119,120,129,100,214,210,203,204</t>
  </si>
  <si>
    <t>F25T8-U</t>
  </si>
  <si>
    <t>T-8 32W-U</t>
  </si>
  <si>
    <t>ECM- 4C F32TE-U to F25T8-U</t>
  </si>
  <si>
    <t>Annual kWh</t>
  </si>
  <si>
    <t>15% Lighting Cap</t>
  </si>
  <si>
    <t>T828W Retro</t>
  </si>
  <si>
    <t>LED 14W Retro</t>
  </si>
  <si>
    <t>LED Delta</t>
  </si>
  <si>
    <t>Lighting Cap Calculations</t>
  </si>
  <si>
    <t>ID</t>
  </si>
  <si>
    <t>Source ID</t>
  </si>
  <si>
    <t>Building</t>
  </si>
  <si>
    <t>Room #</t>
  </si>
  <si>
    <t>Plan ID</t>
  </si>
  <si>
    <t>Room Type</t>
  </si>
  <si>
    <t>Existing Fixture Type</t>
  </si>
  <si>
    <t>Fixture Style</t>
  </si>
  <si>
    <t>Fixture Height (ft.)</t>
  </si>
  <si>
    <t>Existing Fixture Count (Single)</t>
  </si>
  <si>
    <t>Existing Fixture Count (Tandem)</t>
  </si>
  <si>
    <t>Old Fixture Burn Out Qty</t>
  </si>
  <si>
    <t>Existing Lamp Type</t>
  </si>
  <si>
    <t>Existing Ballast Type</t>
  </si>
  <si>
    <t>Proposed 
Retrofit Type</t>
  </si>
  <si>
    <t>Make and Model</t>
  </si>
  <si>
    <t>Total Retrofit Qty</t>
  </si>
  <si>
    <t>New Lamps 
Required</t>
  </si>
  <si>
    <t>New Ballasts 
Required</t>
  </si>
  <si>
    <t>New Lamp Type</t>
  </si>
  <si>
    <t>New Ballast Type</t>
  </si>
  <si>
    <t>Proposed Control Type</t>
  </si>
  <si>
    <t>Control
Qty</t>
  </si>
  <si>
    <t>Relay 
Qty</t>
  </si>
  <si>
    <t>Retrofit Complexity</t>
  </si>
  <si>
    <t xml:space="preserve">Control Complexity </t>
  </si>
  <si>
    <t>Ceiling Type</t>
  </si>
  <si>
    <t>Foot Candles Before</t>
  </si>
  <si>
    <t>Foot Candles After</t>
  </si>
  <si>
    <t>Existing Watts Per Fixture</t>
  </si>
  <si>
    <t>Cafateria</t>
  </si>
  <si>
    <t>2x4 Troffer</t>
  </si>
  <si>
    <t>Standard</t>
  </si>
  <si>
    <t>Electronic IS</t>
  </si>
  <si>
    <t>LED 14W Tubes</t>
  </si>
  <si>
    <t/>
  </si>
  <si>
    <t>(2)-1-F32T8-U</t>
  </si>
  <si>
    <t>OS-3</t>
  </si>
  <si>
    <t>57</t>
  </si>
  <si>
    <t>Boys Restroom</t>
  </si>
  <si>
    <t>Restrooms</t>
  </si>
  <si>
    <t>1x4 Wrap</t>
  </si>
  <si>
    <t>OS-1</t>
  </si>
  <si>
    <t>35</t>
  </si>
  <si>
    <t>Girls Restroom</t>
  </si>
  <si>
    <t>Cafeteria Storage</t>
  </si>
  <si>
    <t>Closet</t>
  </si>
  <si>
    <t>2x4 Wrap</t>
  </si>
  <si>
    <t>1x4 Troffer</t>
  </si>
  <si>
    <t>(22)-2-F28T8</t>
  </si>
  <si>
    <t>Admin Office</t>
  </si>
  <si>
    <t>Genral Office 1</t>
  </si>
  <si>
    <t>Office</t>
  </si>
  <si>
    <t>2-F32T8</t>
  </si>
  <si>
    <t>(16)-F28T8</t>
  </si>
  <si>
    <t>(8)-2-F28T8</t>
  </si>
  <si>
    <t>44</t>
  </si>
  <si>
    <t>Genral Office 2</t>
  </si>
  <si>
    <t>(12)-F28T8</t>
  </si>
  <si>
    <t>(6)-2-F28T8</t>
  </si>
  <si>
    <t>Work Room</t>
  </si>
  <si>
    <t>(6)-F28T8</t>
  </si>
  <si>
    <t>(3)-2-F28T8</t>
  </si>
  <si>
    <t>Private Office 1</t>
  </si>
  <si>
    <t>(4)-F28T8</t>
  </si>
  <si>
    <t>(2)-2-F28T8</t>
  </si>
  <si>
    <t>Private Office 2</t>
  </si>
  <si>
    <t>Private Office 3</t>
  </si>
  <si>
    <t>(2)-F28T8</t>
  </si>
  <si>
    <t>(1)-2-F28T8</t>
  </si>
  <si>
    <t>Nurse</t>
  </si>
  <si>
    <t>Men's Restroom</t>
  </si>
  <si>
    <t>Women's Restroom</t>
  </si>
  <si>
    <t>100</t>
  </si>
  <si>
    <t>Bldg. Common Area</t>
  </si>
  <si>
    <t>Common Area</t>
  </si>
  <si>
    <t>(80)-F28T8</t>
  </si>
  <si>
    <t>(40)-2-F28T8</t>
  </si>
  <si>
    <t>Shared Work Room</t>
  </si>
  <si>
    <t>104</t>
  </si>
  <si>
    <t>Classroom</t>
  </si>
  <si>
    <t>(34)-F28T8</t>
  </si>
  <si>
    <t>(17)-2-F28T8</t>
  </si>
  <si>
    <t>102</t>
  </si>
  <si>
    <t>(38)-F28T8</t>
  </si>
  <si>
    <t>(19)-2-F28T8</t>
  </si>
  <si>
    <t>101</t>
  </si>
  <si>
    <t>(32)-F28T8</t>
  </si>
  <si>
    <t>(16)-2-F28T8</t>
  </si>
  <si>
    <t>103</t>
  </si>
  <si>
    <t>118</t>
  </si>
  <si>
    <t>119</t>
  </si>
  <si>
    <t>50</t>
  </si>
  <si>
    <t>120</t>
  </si>
  <si>
    <t>121</t>
  </si>
  <si>
    <t>129</t>
  </si>
  <si>
    <t>130</t>
  </si>
  <si>
    <t>(20)-F28T8</t>
  </si>
  <si>
    <t>(10)-2-F28T8</t>
  </si>
  <si>
    <t>131</t>
  </si>
  <si>
    <t>(8)-F28T8</t>
  </si>
  <si>
    <t>(4)-2-F28T8</t>
  </si>
  <si>
    <t>(44)-F28T8</t>
  </si>
  <si>
    <t>(96)-F28T8</t>
  </si>
  <si>
    <t>(48)-2-F28T8</t>
  </si>
  <si>
    <t>Gym Lighting Controller</t>
  </si>
  <si>
    <t>27</t>
  </si>
  <si>
    <t>Storage</t>
  </si>
  <si>
    <t>20</t>
  </si>
  <si>
    <t>Boys Locker Room</t>
  </si>
  <si>
    <t>Locker Rooms</t>
  </si>
  <si>
    <t>40</t>
  </si>
  <si>
    <t>(24)-F28T8</t>
  </si>
  <si>
    <t>(12)-2-F28T8</t>
  </si>
  <si>
    <t>Photocell Controller</t>
  </si>
  <si>
    <t>Coach</t>
  </si>
  <si>
    <t>Girls Locker Room</t>
  </si>
  <si>
    <t>200</t>
  </si>
  <si>
    <t>(68)-F28T8</t>
  </si>
  <si>
    <t>(34)-2-F28T8</t>
  </si>
  <si>
    <t>24</t>
  </si>
  <si>
    <t>(10)-F28T8</t>
  </si>
  <si>
    <t>(5)-2-F28T8</t>
  </si>
  <si>
    <t>25</t>
  </si>
  <si>
    <t>214</t>
  </si>
  <si>
    <t>(36)-F28T8</t>
  </si>
  <si>
    <t>(18)-2-F28T8</t>
  </si>
  <si>
    <t>210</t>
  </si>
  <si>
    <t>(42)-F28T8</t>
  </si>
  <si>
    <t>(21)-2-F28T8</t>
  </si>
  <si>
    <t>205</t>
  </si>
  <si>
    <t>202</t>
  </si>
  <si>
    <t>(40)-F28T8</t>
  </si>
  <si>
    <t>(20)-2-F28T8</t>
  </si>
  <si>
    <t>203</t>
  </si>
  <si>
    <t>204</t>
  </si>
  <si>
    <t>7</t>
  </si>
  <si>
    <t>8</t>
  </si>
  <si>
    <t>9</t>
  </si>
  <si>
    <t>5</t>
  </si>
  <si>
    <t>60</t>
  </si>
  <si>
    <t>6</t>
  </si>
  <si>
    <t>4</t>
  </si>
  <si>
    <t>Choir Room</t>
  </si>
  <si>
    <t>(48)-F28T8</t>
  </si>
  <si>
    <t>(24)-2-F28T8</t>
  </si>
  <si>
    <t>Band Room</t>
  </si>
  <si>
    <t>45</t>
  </si>
  <si>
    <t>2</t>
  </si>
  <si>
    <t>3</t>
  </si>
  <si>
    <t>1</t>
  </si>
  <si>
    <t>4-F32T8</t>
  </si>
  <si>
    <t>(12)-4-F28T8</t>
  </si>
  <si>
    <t>TOTAL kWh Savings:</t>
  </si>
  <si>
    <t>Egling</t>
  </si>
  <si>
    <t>New Ballasts 
Configuration</t>
  </si>
  <si>
    <t>Offices</t>
  </si>
  <si>
    <t>1x4 Box</t>
  </si>
  <si>
    <t>74</t>
  </si>
  <si>
    <t>70</t>
  </si>
  <si>
    <t>105</t>
  </si>
  <si>
    <t>109</t>
  </si>
  <si>
    <t>Library</t>
  </si>
  <si>
    <t>8' Pendant Wrap</t>
  </si>
  <si>
    <t>(60)-F28T8</t>
  </si>
  <si>
    <t>(30)-2-F28T8</t>
  </si>
  <si>
    <t>55</t>
  </si>
  <si>
    <t>106</t>
  </si>
  <si>
    <t>112</t>
  </si>
  <si>
    <t>111</t>
  </si>
  <si>
    <t>113</t>
  </si>
  <si>
    <t>114</t>
  </si>
  <si>
    <t>Lounge</t>
  </si>
  <si>
    <t>115</t>
  </si>
  <si>
    <t>(28)-F28T8</t>
  </si>
  <si>
    <t>(14)-2-F28T8</t>
  </si>
  <si>
    <t>Exterior</t>
  </si>
  <si>
    <t>1x4 Surface</t>
  </si>
  <si>
    <t>201</t>
  </si>
  <si>
    <t>65</t>
  </si>
  <si>
    <t>206</t>
  </si>
  <si>
    <t>2x4 Box</t>
  </si>
  <si>
    <t>Men's Locker Room</t>
  </si>
  <si>
    <t>Locker Room</t>
  </si>
  <si>
    <t>Coach's Room</t>
  </si>
  <si>
    <t>Women's Locker Room</t>
  </si>
  <si>
    <t>300</t>
  </si>
  <si>
    <t>(72)-F28T8</t>
  </si>
  <si>
    <t>(36)-2-F28T8</t>
  </si>
  <si>
    <t>305</t>
  </si>
  <si>
    <t>304</t>
  </si>
  <si>
    <t>302</t>
  </si>
  <si>
    <t>Hallway</t>
  </si>
  <si>
    <t>500</t>
  </si>
  <si>
    <t>502</t>
  </si>
  <si>
    <t>(22)-F28T8</t>
  </si>
  <si>
    <t>(11)-2-F28T8</t>
  </si>
  <si>
    <t>(26)-F28T8</t>
  </si>
  <si>
    <t>(13)-2-F28T8</t>
  </si>
  <si>
    <t>501</t>
  </si>
  <si>
    <t>504</t>
  </si>
  <si>
    <t>503</t>
  </si>
  <si>
    <t>506</t>
  </si>
  <si>
    <t>505</t>
  </si>
  <si>
    <t>508</t>
  </si>
  <si>
    <t>507</t>
  </si>
  <si>
    <t>400</t>
  </si>
  <si>
    <t>402</t>
  </si>
  <si>
    <t>(14)-F28T8</t>
  </si>
  <si>
    <t>(7)-2-F28T8</t>
  </si>
  <si>
    <t>30</t>
  </si>
  <si>
    <t>403</t>
  </si>
  <si>
    <t>Portables - 600</t>
  </si>
  <si>
    <t>601</t>
  </si>
  <si>
    <t>602</t>
  </si>
  <si>
    <t>(18)-F28T8</t>
  </si>
  <si>
    <t>(9)-2-F28T8</t>
  </si>
  <si>
    <t>604</t>
  </si>
  <si>
    <t>(30)-F28T8</t>
  </si>
  <si>
    <t>(15)-2-F28T8</t>
  </si>
  <si>
    <t>700</t>
  </si>
  <si>
    <t>702</t>
  </si>
  <si>
    <t>701</t>
  </si>
  <si>
    <t>800</t>
  </si>
  <si>
    <t>801</t>
  </si>
  <si>
    <t>802</t>
  </si>
  <si>
    <t>803</t>
  </si>
  <si>
    <t>New Ballast 
Configuration</t>
  </si>
  <si>
    <t>14W LED Tubes</t>
  </si>
  <si>
    <t>83</t>
  </si>
  <si>
    <t>78</t>
  </si>
  <si>
    <t>2x4 Surface</t>
  </si>
  <si>
    <t>108</t>
  </si>
  <si>
    <t>77</t>
  </si>
  <si>
    <t>(58)-F28T8</t>
  </si>
  <si>
    <t>(29)-2-F28T8</t>
  </si>
  <si>
    <t>(54)-F28T8</t>
  </si>
  <si>
    <t>(27)-2-F28T8</t>
  </si>
  <si>
    <t>(52)-F28T8</t>
  </si>
  <si>
    <t>(26)-2-F28T8</t>
  </si>
  <si>
    <t>(10)-4-F28T8</t>
  </si>
  <si>
    <t>(9)-4-F28T8</t>
  </si>
  <si>
    <t>46</t>
  </si>
  <si>
    <t>4x4 Box</t>
  </si>
  <si>
    <t>(64)-F28T8</t>
  </si>
  <si>
    <t>(16)-4-F28T8</t>
  </si>
  <si>
    <t>(7)-4-F28T8</t>
  </si>
  <si>
    <t>Burchfield</t>
  </si>
  <si>
    <t>1-F32T8-U</t>
  </si>
  <si>
    <t>2x2 Troffer</t>
  </si>
  <si>
    <t>1-F25T8-U</t>
  </si>
  <si>
    <t>(2)-FB25T8</t>
  </si>
  <si>
    <t>Energy Saving</t>
  </si>
  <si>
    <t>22</t>
  </si>
  <si>
    <t>Ford Building</t>
  </si>
  <si>
    <t>Restroom</t>
  </si>
  <si>
    <t>Spanish Library</t>
  </si>
  <si>
    <t>Kinder Building</t>
  </si>
  <si>
    <t>Lounge &amp; Storage</t>
  </si>
  <si>
    <t>Main Office</t>
  </si>
  <si>
    <t>Hallways</t>
  </si>
  <si>
    <t>Workroom</t>
  </si>
  <si>
    <t>Outside Storage</t>
  </si>
  <si>
    <t>Admin Building</t>
  </si>
  <si>
    <t>Server Room</t>
  </si>
  <si>
    <t>Teachers Room</t>
  </si>
  <si>
    <t>Main Entry</t>
  </si>
  <si>
    <t>Workroom/Storage</t>
  </si>
  <si>
    <t>Annex</t>
  </si>
  <si>
    <t>18</t>
  </si>
  <si>
    <t>17</t>
  </si>
  <si>
    <t>16</t>
  </si>
  <si>
    <t>15</t>
  </si>
  <si>
    <t>14</t>
  </si>
  <si>
    <t>13</t>
  </si>
  <si>
    <t>12</t>
  </si>
  <si>
    <t>21</t>
  </si>
  <si>
    <t>10</t>
  </si>
  <si>
    <t>11</t>
  </si>
  <si>
    <t>19</t>
  </si>
  <si>
    <t>23</t>
  </si>
  <si>
    <t>Included with LED Re-lamping Cost</t>
  </si>
  <si>
    <t>Data Pulled directly from Digital Energy Summary</t>
  </si>
  <si>
    <t>ECM 1b / Digital Energy Project E2 - PVC Strip Curtains</t>
  </si>
  <si>
    <t>ECM 1c / Digital Energy Project E-1 - Vending Machine Occupancy Sensors</t>
  </si>
  <si>
    <t>Parking Lot</t>
  </si>
  <si>
    <t>MH-400W</t>
  </si>
  <si>
    <t>Surface</t>
  </si>
  <si>
    <t>LED-130W</t>
  </si>
  <si>
    <t>(2)-130W-LED</t>
  </si>
  <si>
    <t xml:space="preserve">Exterior Smart Controls </t>
  </si>
  <si>
    <t>Switched from 130W noted in Audit to 148W, and adjusted savings using Digital Energy Calculator</t>
  </si>
  <si>
    <t>Switched from 46W noted in audit to 42W, and adjusted savings using Digital Energy Calculator</t>
  </si>
  <si>
    <t>Switched from 420W noted in Audit to 25W, and adjusted savings using Digital Energy Calculator</t>
  </si>
  <si>
    <t>Exterior-Existing Photocell</t>
  </si>
  <si>
    <t>MH-100W</t>
  </si>
  <si>
    <t>LED-42W</t>
  </si>
  <si>
    <t>(10)-42W-LED</t>
  </si>
  <si>
    <t>LED-148W</t>
  </si>
  <si>
    <t>(2)-148W-LED</t>
  </si>
  <si>
    <t>HPS-50W</t>
  </si>
  <si>
    <t>LED-25W</t>
  </si>
  <si>
    <t>(1)-25W-LED</t>
  </si>
  <si>
    <t>HPS-100W</t>
  </si>
  <si>
    <t>(20)-42W-LED</t>
  </si>
  <si>
    <t>MH-150W</t>
  </si>
  <si>
    <t>(8)-42W-LED</t>
  </si>
  <si>
    <t>ECM-4a-Calculated using Digital Energy Calculator in WorkSummaries</t>
  </si>
  <si>
    <t>Chuck working on this</t>
  </si>
  <si>
    <t>ECM-4D 2 Lamp 32W Fixture to 43W LED Fixture (1/2 as many fixtures needed)</t>
  </si>
  <si>
    <t>See cut sheets below</t>
  </si>
  <si>
    <t>4d</t>
  </si>
  <si>
    <t>Interior Lighting Fixture Replacment</t>
  </si>
  <si>
    <t>Replace 38 2-F32T8 Fixtures with 20 43W LED Fixtures</t>
  </si>
  <si>
    <t>Labor &amp; Tax is Included in Material Cost</t>
  </si>
  <si>
    <t>Fixtures already installed. Need to send in rebate</t>
  </si>
  <si>
    <t>Sedona 43W LED</t>
  </si>
  <si>
    <t>(8) 43W LED</t>
  </si>
  <si>
    <t>(12) 43W LED</t>
  </si>
  <si>
    <t>Replace (19) 4x4 skylights throughout the Gymnasium</t>
  </si>
  <si>
    <t>ECM-5: Replace Wall Mount Heat Pumps</t>
  </si>
  <si>
    <t>5a - Wall Mount AC w/ Electric Heat</t>
  </si>
  <si>
    <t>List of Units</t>
  </si>
  <si>
    <t>Existing</t>
  </si>
  <si>
    <t>Space Served</t>
  </si>
  <si>
    <t>Unit Tag</t>
  </si>
  <si>
    <t>Capacity (tons)</t>
  </si>
  <si>
    <t>Make</t>
  </si>
  <si>
    <t>Model</t>
  </si>
  <si>
    <t>EER</t>
  </si>
  <si>
    <t>700 Wing (Portables)</t>
  </si>
  <si>
    <t>#33-35</t>
  </si>
  <si>
    <t>Bard</t>
  </si>
  <si>
    <t>n/a</t>
  </si>
  <si>
    <t>T48HA</t>
  </si>
  <si>
    <t>P-1 (Portables)</t>
  </si>
  <si>
    <t>#01</t>
  </si>
  <si>
    <t>P-2 to P-3 (Portables)</t>
  </si>
  <si>
    <t>#02-03</t>
  </si>
  <si>
    <t>T42HA</t>
  </si>
  <si>
    <t>P-8 to P-9 (Portables)</t>
  </si>
  <si>
    <t>#09-10</t>
  </si>
  <si>
    <t>P-4 (Portables)</t>
  </si>
  <si>
    <t>Rm 19-23 (Portables)</t>
  </si>
  <si>
    <t>#27-31</t>
  </si>
  <si>
    <t>TOTAL</t>
  </si>
  <si>
    <t>Energy Savings per Unit</t>
  </si>
  <si>
    <t>(E) Unit Electricity Use</t>
  </si>
  <si>
    <t>(N) Unit Electricity Use</t>
  </si>
  <si>
    <t>Electricity Savings</t>
  </si>
  <si>
    <t>Savings and Cost per Site</t>
  </si>
  <si>
    <t>(E) EER</t>
  </si>
  <si>
    <t>(N) EER</t>
  </si>
  <si>
    <t>Cost per Unit</t>
  </si>
  <si>
    <t>Labor Cost per Unit</t>
  </si>
  <si>
    <t>P-1, P-4, P-8, P-9 (portables)</t>
  </si>
  <si>
    <t>5b - Wall Mount AC w/ Gas Heat</t>
  </si>
  <si>
    <t>SEER (EER)</t>
  </si>
  <si>
    <t>800 Wing (Portables)</t>
  </si>
  <si>
    <t>#31-32</t>
  </si>
  <si>
    <t>(9)</t>
  </si>
  <si>
    <t>WG4S</t>
  </si>
  <si>
    <t>(11)</t>
  </si>
  <si>
    <t>Note: Bard WG series sizes only come in whole ton increments (i.e. 3 or 4 ton)</t>
  </si>
  <si>
    <t>WG3S</t>
  </si>
  <si>
    <t>P-5 to P-7 (Portables)</t>
  </si>
  <si>
    <t>#06-08</t>
  </si>
  <si>
    <t>Rm 3-7 (Portables)</t>
  </si>
  <si>
    <t>#01-04</t>
  </si>
  <si>
    <t>Rm 24-25 (Portables)</t>
  </si>
  <si>
    <t>#25-26</t>
  </si>
  <si>
    <t>(E) Unit Natural Gas Use</t>
  </si>
  <si>
    <t>(N) Unit Natural Gas Use</t>
  </si>
  <si>
    <t>Natural Gas Savings</t>
  </si>
  <si>
    <t>(N) Nominal Tons</t>
  </si>
  <si>
    <t>Annual Electic Savings</t>
  </si>
  <si>
    <t>$$$</t>
  </si>
  <si>
    <t>3.8 &amp; 4</t>
  </si>
  <si>
    <t xml:space="preserve">3.5 Ton Nominal </t>
  </si>
  <si>
    <t xml:space="preserve">3.8 &amp; 4 Ton Nominal </t>
  </si>
  <si>
    <t>Portables 19-23</t>
  </si>
  <si>
    <t>Portables 3-7 &amp; 24-25</t>
  </si>
  <si>
    <t>Portables 2-3</t>
  </si>
  <si>
    <t>4-Ton Nominal</t>
  </si>
  <si>
    <t>4-Ton</t>
  </si>
  <si>
    <t>3.5-Ton</t>
  </si>
  <si>
    <t>3.5 Ton</t>
  </si>
  <si>
    <t>Portables: 800 Wing</t>
  </si>
  <si>
    <t>Total kWh Usage at Site</t>
  </si>
  <si>
    <t>Total Plug Load Savings Capped at 5% of Total kWH use by Site</t>
  </si>
  <si>
    <t>HVAC KWh Savings</t>
  </si>
  <si>
    <t>5% Cap</t>
  </si>
  <si>
    <t>Plug Load KWh Savings</t>
  </si>
  <si>
    <t>Total Lighting Capped at 15% of Total kWH use by Site</t>
  </si>
  <si>
    <t>Total HVAC Savings Capped at 50% of Total kWH use by Site</t>
  </si>
  <si>
    <t>15% Cap</t>
  </si>
  <si>
    <t>Lighting KWh Savings</t>
  </si>
  <si>
    <t>% of Cap Limit</t>
  </si>
  <si>
    <t>Lighting Cap Reduction Req'd</t>
  </si>
  <si>
    <t>Not included in Plug Load Cap Count</t>
  </si>
  <si>
    <t>Entire V7a Calculator for each site have been submitted as stand-alone documents</t>
  </si>
  <si>
    <t>Total HVAC Savings Capped at 25% of Total kWH use by Site</t>
  </si>
  <si>
    <t>25% Cap</t>
  </si>
  <si>
    <t>ECM-4a Tab indicatees locations</t>
  </si>
  <si>
    <t>Phillips 14.5W LED 48" T8 Lamp</t>
  </si>
  <si>
    <t>As Needed</t>
  </si>
  <si>
    <t>HPS 100W to LED 42W</t>
  </si>
  <si>
    <t>Portables 5-7</t>
  </si>
  <si>
    <t>Portables 1, 2, 3, 4, 8, 9</t>
  </si>
  <si>
    <t>Gymnasium Boys &amp; Girls Locker rooms</t>
  </si>
  <si>
    <t>Hubbell Sedona SCP 43W</t>
  </si>
  <si>
    <t>Add-on to Lithonia Fixture</t>
  </si>
  <si>
    <t>Add-on to 11 Cree Fixtures &amp; 2 Lithonia Fixtures. Both about the same price</t>
  </si>
  <si>
    <t>Add-on to Cree Fixtures</t>
  </si>
  <si>
    <t>ECM-3 Calcs indicates locations.</t>
  </si>
  <si>
    <t>Multi-level sensor ordered with Lithonia fixture for addiotnal $100.</t>
  </si>
  <si>
    <t>Multi-level sensor ordered with Cree fixture for additional $111.</t>
  </si>
  <si>
    <t>Plug Load Cap Reduction Req'd</t>
  </si>
  <si>
    <t>Wireless Thermostats/Door Sensors</t>
  </si>
  <si>
    <t xml:space="preserve"> Wireless Thermostats/Door Sensors</t>
  </si>
  <si>
    <t>Labor will be performed by District Staff</t>
  </si>
  <si>
    <t>Labor by District Staff</t>
  </si>
  <si>
    <t>Labor by District Staff for Install</t>
  </si>
  <si>
    <t>700 Wing - Unit 33, 34 &amp; 35
MPR - Units 3 &amp; 4</t>
  </si>
  <si>
    <t>MPR</t>
  </si>
  <si>
    <t>#3 a&amp; 4</t>
  </si>
  <si>
    <t>700 Wing (portables) &amp; MPR</t>
  </si>
  <si>
    <t>Using $3,500 per District Direction</t>
  </si>
  <si>
    <t>Delta - Under  Budget</t>
  </si>
  <si>
    <t>Minus non-Repayable Funds or Rebates</t>
  </si>
  <si>
    <t>Data taken from Bright Schools Audit Dated 5/13/15</t>
  </si>
  <si>
    <t>GSF</t>
  </si>
  <si>
    <t>Minus Incentives / Rebates</t>
  </si>
  <si>
    <t>Proposition 39: California Clean Energy Jobs Act
Energy Expenditure Plan</t>
  </si>
  <si>
    <t>Colusa Unified School District</t>
  </si>
  <si>
    <t>Prop 39 California Clean Energy Jobs Act</t>
  </si>
  <si>
    <t>Project Implementation - 5 Year Cash Flow Summary</t>
  </si>
  <si>
    <t>FY 13-14</t>
  </si>
  <si>
    <t>FY 14-15</t>
  </si>
  <si>
    <t>FY 15-16</t>
  </si>
  <si>
    <t>FY 16-17</t>
  </si>
  <si>
    <t>FY 17-18</t>
  </si>
  <si>
    <t>Year 1
(Received)</t>
  </si>
  <si>
    <t xml:space="preserve">Year 2
</t>
  </si>
  <si>
    <t>Year 3
(Jan 2016)</t>
  </si>
  <si>
    <t>Year 4
(Jan 2017)</t>
  </si>
  <si>
    <t>Year 5
(Jan 2018)</t>
  </si>
  <si>
    <t>[1]</t>
  </si>
  <si>
    <t>Annual State Funding Allocation</t>
  </si>
  <si>
    <t>Remaining Funds Available for Projects:</t>
  </si>
  <si>
    <t>Anticipated Project Expenditures</t>
  </si>
  <si>
    <t>Energy Conservation Measures all Campuses</t>
  </si>
  <si>
    <t>Total Estimated Project Expenditures:</t>
  </si>
  <si>
    <t>Projected Funding Carried Over from Year to Year:</t>
  </si>
  <si>
    <t>[2]</t>
  </si>
  <si>
    <t>Notes:</t>
  </si>
  <si>
    <t>Allocation for Year 3, 4 and 5 is Estimated</t>
  </si>
  <si>
    <t>There is currently $1,230 in uncommitted Prop 39 funding</t>
  </si>
  <si>
    <t>Implement "automatic shutdown" software on all computers.</t>
  </si>
  <si>
    <t>***Savings Capped per CEC guidelines</t>
  </si>
  <si>
    <t>Replacement of all programmable thermostats with web programable wireless thermostats including door sensors to cycle off HVAC equipment when door is left open.</t>
  </si>
  <si>
    <t>Wireless Thermostat and sensors- Manufacturer TBD</t>
  </si>
  <si>
    <t>ECM-4a Tab indicates locations</t>
  </si>
  <si>
    <t>Phillips 120-277V 2-Lamp F32T8 Ballast</t>
  </si>
  <si>
    <t>Replacement of all programmable thermostats with web programmable wireless thermostats including door sensors to cycle off HVAC equipment when door is left open.</t>
  </si>
  <si>
    <r>
      <t xml:space="preserve">HPS 50W to LED </t>
    </r>
    <r>
      <rPr>
        <sz val="10"/>
        <rFont val="Arial"/>
        <family val="2"/>
      </rPr>
      <t xml:space="preserve"> 25W</t>
    </r>
  </si>
  <si>
    <t xml:space="preserve">MH 400W to LED 148W </t>
  </si>
  <si>
    <t>Wireless Thermostat and Sensor- Manufacturer TBD</t>
  </si>
  <si>
    <t>Replace F32T8-U lamp in the 2x2 Troffer Fixtures with F25T8 Lamps</t>
  </si>
  <si>
    <t>Phillips 25W 6" gap T8 U-Lamp</t>
  </si>
  <si>
    <t>Wireless Thermostat and Sensors- Manufacturer TBD</t>
  </si>
  <si>
    <t>SunOptics Signature Series Dome Skylights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</si>
</sst>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0"/>
    <numFmt numFmtId="167" formatCode="0.00000000"/>
    <numFmt numFmtId="168" formatCode="_(* #,##0.0_);_(* \(#,##0.0\);_(* &quot;-&quot;??_);_(@_)"/>
  </numFmts>
  <fonts count="4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70C0"/>
      <name val="Arial"/>
      <family val="2"/>
    </font>
    <font>
      <strike/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4"/>
      <color theme="1"/>
      <name val="Arial Narrow"/>
      <family val="2"/>
    </font>
    <font>
      <b/>
      <sz val="10"/>
      <color rgb="FFFF0000"/>
      <name val="Arial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20"/>
      <name val="Arial"/>
      <family val="2"/>
    </font>
    <font>
      <b/>
      <sz val="14"/>
      <name val="Arial"/>
      <family val="2"/>
    </font>
    <font>
      <i/>
      <sz val="10"/>
      <name val="Arial"/>
      <family val="2"/>
    </font>
    <font>
      <b/>
      <sz val="14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BFBFBF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77">
    <xf numFmtId="0" fontId="0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4" fillId="15" borderId="0" applyNumberFormat="0" applyBorder="0" applyAlignment="0" applyProtection="0"/>
    <xf numFmtId="0" fontId="4" fillId="0" borderId="0"/>
    <xf numFmtId="0" fontId="25" fillId="16" borderId="35" applyNumberFormat="0" applyAlignment="0" applyProtection="0"/>
    <xf numFmtId="0" fontId="23" fillId="14" borderId="0" applyNumberFormat="0" applyBorder="0" applyAlignment="0" applyProtection="0"/>
    <xf numFmtId="0" fontId="6" fillId="0" borderId="0"/>
    <xf numFmtId="0" fontId="26" fillId="17" borderId="35" applyNumberFormat="0" applyAlignment="0" applyProtection="0"/>
    <xf numFmtId="0" fontId="26" fillId="17" borderId="36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3" fillId="0" borderId="0"/>
    <xf numFmtId="0" fontId="3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</cellStyleXfs>
  <cellXfs count="910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horizontal="left"/>
    </xf>
    <xf numFmtId="0" fontId="0" fillId="0" borderId="0" xfId="0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quotePrefix="1" applyBorder="1" applyAlignment="1">
      <alignment horizontal="left"/>
    </xf>
    <xf numFmtId="0" fontId="0" fillId="4" borderId="1" xfId="0" applyFill="1" applyBorder="1" applyAlignment="1">
      <alignment wrapText="1"/>
    </xf>
    <xf numFmtId="0" fontId="0" fillId="4" borderId="1" xfId="0" applyFill="1" applyBorder="1" applyAlignment="1">
      <alignment horizontal="left"/>
    </xf>
    <xf numFmtId="0" fontId="0" fillId="0" borderId="0" xfId="0" applyFill="1"/>
    <xf numFmtId="0" fontId="0" fillId="0" borderId="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7" fillId="0" borderId="0" xfId="0" applyFont="1" applyBorder="1" applyAlignment="1">
      <alignment wrapText="1"/>
    </xf>
    <xf numFmtId="0" fontId="0" fillId="0" borderId="0" xfId="0" applyFill="1" applyBorder="1"/>
    <xf numFmtId="0" fontId="0" fillId="4" borderId="1" xfId="0" applyFill="1" applyBorder="1" applyAlignment="1">
      <alignment horizontal="center" wrapText="1"/>
    </xf>
    <xf numFmtId="9" fontId="0" fillId="4" borderId="1" xfId="0" applyNumberForma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>
      <alignment horizontal="left"/>
    </xf>
    <xf numFmtId="164" fontId="10" fillId="5" borderId="11" xfId="0" applyNumberFormat="1" applyFont="1" applyFill="1" applyBorder="1"/>
    <xf numFmtId="0" fontId="7" fillId="6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4" borderId="11" xfId="0" applyFill="1" applyBorder="1" applyAlignment="1">
      <alignment horizontal="center" wrapText="1"/>
    </xf>
    <xf numFmtId="44" fontId="0" fillId="0" borderId="0" xfId="2" applyFont="1" applyBorder="1"/>
    <xf numFmtId="164" fontId="0" fillId="0" borderId="0" xfId="0" applyNumberFormat="1" applyBorder="1"/>
    <xf numFmtId="44" fontId="0" fillId="0" borderId="0" xfId="0" applyNumberFormat="1" applyBorder="1"/>
    <xf numFmtId="164" fontId="0" fillId="0" borderId="0" xfId="2" applyNumberFormat="1" applyFont="1" applyBorder="1"/>
    <xf numFmtId="0" fontId="7" fillId="0" borderId="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7" fillId="0" borderId="0" xfId="0" applyFont="1" applyFill="1" applyBorder="1"/>
    <xf numFmtId="164" fontId="10" fillId="0" borderId="0" xfId="0" applyNumberFormat="1" applyFont="1" applyFill="1" applyBorder="1"/>
    <xf numFmtId="43" fontId="10" fillId="0" borderId="0" xfId="4" applyFont="1" applyFill="1" applyBorder="1"/>
    <xf numFmtId="44" fontId="11" fillId="0" borderId="0" xfId="2" applyFont="1" applyFill="1" applyBorder="1"/>
    <xf numFmtId="0" fontId="11" fillId="0" borderId="0" xfId="0" applyFont="1" applyFill="1" applyBorder="1"/>
    <xf numFmtId="44" fontId="0" fillId="4" borderId="11" xfId="0" applyNumberFormat="1" applyFill="1" applyBorder="1" applyAlignment="1">
      <alignment wrapText="1"/>
    </xf>
    <xf numFmtId="44" fontId="0" fillId="0" borderId="0" xfId="2" applyFont="1"/>
    <xf numFmtId="44" fontId="0" fillId="0" borderId="3" xfId="2" applyFont="1" applyFill="1" applyBorder="1"/>
    <xf numFmtId="44" fontId="0" fillId="0" borderId="0" xfId="2" applyFont="1" applyFill="1" applyBorder="1"/>
    <xf numFmtId="44" fontId="7" fillId="6" borderId="2" xfId="2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9" fontId="0" fillId="4" borderId="1" xfId="2" applyNumberFormat="1" applyFont="1" applyFill="1" applyBorder="1" applyAlignment="1">
      <alignment horizontal="center" wrapText="1"/>
    </xf>
    <xf numFmtId="0" fontId="0" fillId="0" borderId="3" xfId="0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7" fillId="7" borderId="2" xfId="0" applyFont="1" applyFill="1" applyBorder="1" applyAlignment="1">
      <alignment horizontal="center" vertical="center" wrapText="1"/>
    </xf>
    <xf numFmtId="44" fontId="0" fillId="0" borderId="1" xfId="2" applyFont="1" applyFill="1" applyBorder="1" applyAlignment="1">
      <alignment horizontal="center"/>
    </xf>
    <xf numFmtId="0" fontId="7" fillId="8" borderId="2" xfId="0" applyFont="1" applyFill="1" applyBorder="1" applyAlignment="1">
      <alignment horizontal="center" vertical="center" wrapText="1"/>
    </xf>
    <xf numFmtId="44" fontId="0" fillId="0" borderId="1" xfId="2" applyFont="1" applyFill="1" applyBorder="1" applyAlignment="1">
      <alignment wrapText="1"/>
    </xf>
    <xf numFmtId="44" fontId="0" fillId="0" borderId="0" xfId="2" applyFont="1" applyFill="1" applyBorder="1" applyAlignment="1">
      <alignment wrapText="1"/>
    </xf>
    <xf numFmtId="0" fontId="7" fillId="0" borderId="0" xfId="0" applyFont="1" applyFill="1" applyBorder="1" applyAlignment="1">
      <alignment horizontal="right" wrapText="1"/>
    </xf>
    <xf numFmtId="0" fontId="7" fillId="0" borderId="0" xfId="0" applyFont="1" applyAlignment="1">
      <alignment horizontal="right"/>
    </xf>
    <xf numFmtId="44" fontId="0" fillId="0" borderId="0" xfId="0" applyNumberFormat="1" applyFont="1" applyFill="1" applyBorder="1" applyAlignment="1">
      <alignment horizontal="right" wrapText="1"/>
    </xf>
    <xf numFmtId="0" fontId="0" fillId="0" borderId="13" xfId="0" quotePrefix="1" applyBorder="1" applyAlignment="1">
      <alignment horizontal="left"/>
    </xf>
    <xf numFmtId="0" fontId="0" fillId="0" borderId="16" xfId="0" quotePrefix="1" applyBorder="1" applyAlignment="1">
      <alignment horizontal="left"/>
    </xf>
    <xf numFmtId="0" fontId="0" fillId="0" borderId="18" xfId="0" quotePrefix="1" applyFill="1" applyBorder="1" applyAlignment="1">
      <alignment horizontal="left"/>
    </xf>
    <xf numFmtId="0" fontId="7" fillId="6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9" fillId="0" borderId="0" xfId="0" applyFont="1" applyFill="1" applyBorder="1" applyAlignment="1"/>
    <xf numFmtId="0" fontId="0" fillId="0" borderId="19" xfId="0" applyFill="1" applyBorder="1" applyAlignment="1">
      <alignment wrapText="1"/>
    </xf>
    <xf numFmtId="37" fontId="0" fillId="0" borderId="14" xfId="0" applyNumberFormat="1" applyBorder="1" applyAlignment="1">
      <alignment horizontal="center" wrapText="1"/>
    </xf>
    <xf numFmtId="44" fontId="0" fillId="0" borderId="14" xfId="0" applyNumberFormat="1" applyBorder="1" applyAlignment="1">
      <alignment wrapText="1"/>
    </xf>
    <xf numFmtId="44" fontId="0" fillId="0" borderId="20" xfId="0" applyNumberFormat="1" applyBorder="1" applyAlignment="1">
      <alignment wrapText="1"/>
    </xf>
    <xf numFmtId="39" fontId="0" fillId="0" borderId="15" xfId="0" applyNumberFormat="1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4" borderId="8" xfId="0" quotePrefix="1" applyFill="1" applyBorder="1" applyAlignment="1">
      <alignment horizontal="center"/>
    </xf>
    <xf numFmtId="0" fontId="0" fillId="4" borderId="10" xfId="0" quotePrefix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right" wrapText="1"/>
    </xf>
    <xf numFmtId="37" fontId="7" fillId="4" borderId="22" xfId="0" applyNumberFormat="1" applyFont="1" applyFill="1" applyBorder="1" applyAlignment="1">
      <alignment horizontal="center" wrapText="1"/>
    </xf>
    <xf numFmtId="44" fontId="7" fillId="4" borderId="23" xfId="0" applyNumberFormat="1" applyFont="1" applyFill="1" applyBorder="1" applyAlignment="1">
      <alignment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44" fontId="0" fillId="0" borderId="0" xfId="0" applyNumberFormat="1" applyAlignment="1">
      <alignment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19" xfId="0" applyFont="1" applyFill="1" applyBorder="1" applyAlignment="1">
      <alignment horizontal="left" wrapText="1"/>
    </xf>
    <xf numFmtId="1" fontId="0" fillId="0" borderId="14" xfId="0" applyNumberFormat="1" applyFont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3" fontId="10" fillId="5" borderId="12" xfId="4" applyFont="1" applyFill="1" applyBorder="1" applyAlignment="1">
      <alignment horizontal="center"/>
    </xf>
    <xf numFmtId="44" fontId="0" fillId="0" borderId="0" xfId="2" applyFont="1" applyAlignment="1">
      <alignment wrapText="1"/>
    </xf>
    <xf numFmtId="164" fontId="0" fillId="0" borderId="14" xfId="2" applyNumberFormat="1" applyFont="1" applyFill="1" applyBorder="1" applyAlignment="1">
      <alignment horizontal="center" wrapText="1"/>
    </xf>
    <xf numFmtId="164" fontId="0" fillId="0" borderId="14" xfId="0" applyNumberFormat="1" applyBorder="1" applyAlignment="1">
      <alignment wrapText="1"/>
    </xf>
    <xf numFmtId="164" fontId="7" fillId="4" borderId="22" xfId="0" applyNumberFormat="1" applyFont="1" applyFill="1" applyBorder="1" applyAlignment="1">
      <alignment wrapText="1"/>
    </xf>
    <xf numFmtId="164" fontId="0" fillId="0" borderId="14" xfId="0" applyNumberFormat="1" applyFill="1" applyBorder="1" applyAlignment="1">
      <alignment wrapText="1"/>
    </xf>
    <xf numFmtId="164" fontId="0" fillId="0" borderId="4" xfId="2" applyNumberFormat="1" applyFont="1" applyBorder="1" applyAlignment="1">
      <alignment wrapText="1"/>
    </xf>
    <xf numFmtId="164" fontId="0" fillId="0" borderId="5" xfId="2" applyNumberFormat="1" applyFont="1" applyBorder="1" applyAlignment="1">
      <alignment wrapText="1"/>
    </xf>
    <xf numFmtId="164" fontId="0" fillId="0" borderId="17" xfId="0" applyNumberFormat="1" applyFill="1" applyBorder="1" applyAlignment="1">
      <alignment wrapText="1"/>
    </xf>
    <xf numFmtId="0" fontId="0" fillId="0" borderId="0" xfId="0" applyBorder="1" applyAlignment="1">
      <alignment horizontal="center"/>
    </xf>
    <xf numFmtId="0" fontId="8" fillId="0" borderId="3" xfId="0" applyFont="1" applyFill="1" applyBorder="1" applyAlignment="1">
      <alignment horizontal="left" wrapText="1"/>
    </xf>
    <xf numFmtId="0" fontId="0" fillId="0" borderId="1" xfId="0" applyBorder="1" applyAlignment="1"/>
    <xf numFmtId="0" fontId="0" fillId="0" borderId="0" xfId="0" applyAlignment="1"/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wrapText="1"/>
    </xf>
    <xf numFmtId="2" fontId="0" fillId="0" borderId="0" xfId="0" applyNumberFormat="1" applyFill="1" applyBorder="1" applyAlignment="1">
      <alignment horizontal="center"/>
    </xf>
    <xf numFmtId="0" fontId="8" fillId="0" borderId="0" xfId="0" applyFont="1" applyFill="1" applyBorder="1" applyAlignment="1">
      <alignment horizontal="left" wrapText="1"/>
    </xf>
    <xf numFmtId="0" fontId="0" fillId="0" borderId="8" xfId="0" applyFill="1" applyBorder="1" applyAlignment="1">
      <alignment horizontal="center"/>
    </xf>
    <xf numFmtId="44" fontId="0" fillId="0" borderId="1" xfId="0" applyNumberFormat="1" applyFill="1" applyBorder="1"/>
    <xf numFmtId="164" fontId="0" fillId="0" borderId="1" xfId="0" applyNumberFormat="1" applyFill="1" applyBorder="1"/>
    <xf numFmtId="0" fontId="0" fillId="0" borderId="1" xfId="0" applyNumberFormat="1" applyFill="1" applyBorder="1" applyAlignment="1">
      <alignment horizontal="center"/>
    </xf>
    <xf numFmtId="44" fontId="0" fillId="0" borderId="1" xfId="2" applyFont="1" applyFill="1" applyBorder="1"/>
    <xf numFmtId="0" fontId="0" fillId="0" borderId="1" xfId="0" quotePrefix="1" applyFill="1" applyBorder="1" applyAlignment="1">
      <alignment horizontal="left"/>
    </xf>
    <xf numFmtId="0" fontId="0" fillId="0" borderId="6" xfId="0" applyFill="1" applyBorder="1" applyAlignment="1">
      <alignment horizontal="center"/>
    </xf>
    <xf numFmtId="0" fontId="0" fillId="0" borderId="2" xfId="0" quotePrefix="1" applyFill="1" applyBorder="1" applyAlignment="1">
      <alignment horizontal="left"/>
    </xf>
    <xf numFmtId="164" fontId="0" fillId="0" borderId="1" xfId="2" applyNumberFormat="1" applyFont="1" applyFill="1" applyBorder="1"/>
    <xf numFmtId="0" fontId="0" fillId="0" borderId="8" xfId="0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 wrapText="1"/>
    </xf>
    <xf numFmtId="164" fontId="0" fillId="0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0" fillId="0" borderId="0" xfId="0" applyFont="1"/>
    <xf numFmtId="0" fontId="7" fillId="3" borderId="25" xfId="0" applyFont="1" applyFill="1" applyBorder="1" applyAlignment="1">
      <alignment horizontal="center" vertical="center" wrapText="1"/>
    </xf>
    <xf numFmtId="0" fontId="0" fillId="4" borderId="26" xfId="0" applyFill="1" applyBorder="1" applyAlignment="1">
      <alignment horizontal="center" wrapText="1"/>
    </xf>
    <xf numFmtId="164" fontId="0" fillId="0" borderId="20" xfId="0" applyNumberFormat="1" applyFill="1" applyBorder="1" applyAlignment="1">
      <alignment wrapText="1"/>
    </xf>
    <xf numFmtId="0" fontId="7" fillId="5" borderId="26" xfId="0" applyFont="1" applyFill="1" applyBorder="1" applyAlignment="1">
      <alignment horizontal="center" vertical="center" wrapText="1"/>
    </xf>
    <xf numFmtId="44" fontId="7" fillId="4" borderId="23" xfId="2" applyFont="1" applyFill="1" applyBorder="1" applyAlignment="1">
      <alignment wrapText="1"/>
    </xf>
    <xf numFmtId="164" fontId="6" fillId="0" borderId="20" xfId="2" applyNumberFormat="1" applyFont="1" applyFill="1" applyBorder="1" applyAlignment="1">
      <alignment horizontal="center" wrapText="1"/>
    </xf>
    <xf numFmtId="164" fontId="6" fillId="0" borderId="14" xfId="2" applyNumberFormat="1" applyFont="1" applyFill="1" applyBorder="1" applyAlignment="1">
      <alignment horizontal="center" wrapText="1"/>
    </xf>
    <xf numFmtId="164" fontId="7" fillId="0" borderId="20" xfId="0" applyNumberFormat="1" applyFont="1" applyFill="1" applyBorder="1" applyAlignment="1">
      <alignment horizontal="center" wrapText="1"/>
    </xf>
    <xf numFmtId="164" fontId="7" fillId="4" borderId="23" xfId="2" applyNumberFormat="1" applyFont="1" applyFill="1" applyBorder="1" applyAlignment="1">
      <alignment wrapText="1"/>
    </xf>
    <xf numFmtId="2" fontId="0" fillId="0" borderId="0" xfId="0" applyNumberFormat="1" applyFill="1" applyBorder="1" applyAlignment="1">
      <alignment horizontal="center"/>
    </xf>
    <xf numFmtId="165" fontId="10" fillId="5" borderId="11" xfId="4" applyNumberFormat="1" applyFont="1" applyFill="1" applyBorder="1"/>
    <xf numFmtId="0" fontId="7" fillId="4" borderId="24" xfId="2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164" fontId="14" fillId="0" borderId="0" xfId="0" applyNumberFormat="1" applyFont="1" applyAlignment="1">
      <alignment wrapText="1"/>
    </xf>
    <xf numFmtId="0" fontId="14" fillId="0" borderId="0" xfId="0" applyFont="1" applyAlignment="1">
      <alignment wrapText="1"/>
    </xf>
    <xf numFmtId="0" fontId="14" fillId="0" borderId="0" xfId="0" applyFont="1"/>
    <xf numFmtId="164" fontId="14" fillId="0" borderId="0" xfId="0" applyNumberFormat="1" applyFont="1"/>
    <xf numFmtId="0" fontId="0" fillId="0" borderId="27" xfId="0" quotePrefix="1" applyBorder="1" applyAlignment="1">
      <alignment horizontal="left"/>
    </xf>
    <xf numFmtId="164" fontId="0" fillId="0" borderId="28" xfId="2" applyNumberFormat="1" applyFont="1" applyBorder="1" applyAlignment="1">
      <alignment wrapText="1"/>
    </xf>
    <xf numFmtId="164" fontId="0" fillId="0" borderId="14" xfId="0" applyNumberFormat="1" applyFont="1" applyFill="1" applyBorder="1" applyAlignment="1">
      <alignment horizontal="center" wrapText="1"/>
    </xf>
    <xf numFmtId="164" fontId="0" fillId="0" borderId="5" xfId="2" applyNumberFormat="1" applyFont="1" applyFill="1" applyBorder="1" applyAlignment="1">
      <alignment wrapText="1"/>
    </xf>
    <xf numFmtId="44" fontId="0" fillId="0" borderId="0" xfId="0" applyNumberFormat="1" applyFill="1" applyBorder="1" applyAlignment="1">
      <alignment wrapText="1"/>
    </xf>
    <xf numFmtId="0" fontId="0" fillId="0" borderId="0" xfId="0" applyBorder="1" applyAlignment="1">
      <alignment horizontal="center"/>
    </xf>
    <xf numFmtId="2" fontId="19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1" fontId="16" fillId="0" borderId="0" xfId="0" applyNumberFormat="1" applyFont="1" applyFill="1" applyBorder="1" applyAlignment="1" applyProtection="1"/>
    <xf numFmtId="165" fontId="16" fillId="0" borderId="0" xfId="0" applyNumberFormat="1" applyFont="1" applyFill="1" applyBorder="1" applyAlignment="1" applyProtection="1"/>
    <xf numFmtId="0" fontId="20" fillId="0" borderId="0" xfId="0" applyNumberFormat="1" applyFont="1" applyFill="1" applyBorder="1" applyAlignment="1" applyProtection="1">
      <alignment horizontal="center" wrapText="1"/>
    </xf>
    <xf numFmtId="0" fontId="21" fillId="0" borderId="0" xfId="0" applyNumberFormat="1" applyFont="1" applyFill="1" applyBorder="1" applyAlignment="1" applyProtection="1">
      <alignment horizontal="center" wrapText="1"/>
    </xf>
    <xf numFmtId="0" fontId="17" fillId="0" borderId="30" xfId="0" applyNumberFormat="1" applyFont="1" applyFill="1" applyBorder="1" applyAlignment="1" applyProtection="1"/>
    <xf numFmtId="0" fontId="19" fillId="0" borderId="30" xfId="0" applyNumberFormat="1" applyFont="1" applyFill="1" applyBorder="1" applyAlignment="1" applyProtection="1"/>
    <xf numFmtId="0" fontId="19" fillId="0" borderId="30" xfId="0" applyNumberFormat="1" applyFont="1" applyFill="1" applyBorder="1" applyAlignment="1" applyProtection="1">
      <alignment wrapText="1"/>
    </xf>
    <xf numFmtId="164" fontId="16" fillId="0" borderId="30" xfId="0" applyNumberFormat="1" applyFont="1" applyFill="1" applyBorder="1" applyAlignment="1" applyProtection="1"/>
    <xf numFmtId="0" fontId="16" fillId="0" borderId="30" xfId="0" applyNumberFormat="1" applyFont="1" applyFill="1" applyBorder="1" applyAlignment="1" applyProtection="1">
      <alignment horizontal="left" wrapText="1" indent="3"/>
    </xf>
    <xf numFmtId="0" fontId="22" fillId="0" borderId="0" xfId="0" applyNumberFormat="1" applyFont="1" applyFill="1" applyBorder="1" applyAlignment="1" applyProtection="1">
      <alignment horizontal="center" wrapText="1"/>
    </xf>
    <xf numFmtId="0" fontId="19" fillId="0" borderId="30" xfId="0" applyNumberFormat="1" applyFont="1" applyFill="1" applyBorder="1" applyAlignment="1" applyProtection="1">
      <alignment horizontal="left" indent="3"/>
    </xf>
    <xf numFmtId="0" fontId="0" fillId="0" borderId="0" xfId="0" applyFill="1" applyAlignment="1">
      <alignment horizontal="left"/>
    </xf>
    <xf numFmtId="0" fontId="7" fillId="0" borderId="0" xfId="0" applyFont="1"/>
    <xf numFmtId="0" fontId="0" fillId="0" borderId="14" xfId="0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/>
    <xf numFmtId="0" fontId="7" fillId="12" borderId="31" xfId="0" applyFont="1" applyFill="1" applyBorder="1"/>
    <xf numFmtId="0" fontId="7" fillId="12" borderId="32" xfId="0" applyFont="1" applyFill="1" applyBorder="1"/>
    <xf numFmtId="0" fontId="7" fillId="12" borderId="33" xfId="0" applyFont="1" applyFill="1" applyBorder="1" applyAlignment="1">
      <alignment wrapText="1"/>
    </xf>
    <xf numFmtId="164" fontId="0" fillId="0" borderId="1" xfId="2" applyNumberFormat="1" applyFont="1" applyBorder="1"/>
    <xf numFmtId="164" fontId="0" fillId="0" borderId="34" xfId="2" applyNumberFormat="1" applyFont="1" applyBorder="1"/>
    <xf numFmtId="164" fontId="0" fillId="0" borderId="1" xfId="2" applyNumberFormat="1" applyFont="1" applyBorder="1" applyAlignment="1">
      <alignment wrapText="1"/>
    </xf>
    <xf numFmtId="164" fontId="0" fillId="0" borderId="34" xfId="2" applyNumberFormat="1" applyFont="1" applyBorder="1" applyAlignment="1">
      <alignment wrapText="1"/>
    </xf>
    <xf numFmtId="0" fontId="0" fillId="0" borderId="3" xfId="0" applyBorder="1"/>
    <xf numFmtId="0" fontId="0" fillId="0" borderId="16" xfId="0" applyBorder="1"/>
    <xf numFmtId="164" fontId="0" fillId="0" borderId="0" xfId="2" applyNumberFormat="1" applyFont="1" applyBorder="1" applyAlignment="1">
      <alignment wrapText="1"/>
    </xf>
    <xf numFmtId="9" fontId="0" fillId="0" borderId="0" xfId="1" applyFont="1" applyBorder="1"/>
    <xf numFmtId="0" fontId="7" fillId="0" borderId="16" xfId="0" applyFont="1" applyBorder="1"/>
    <xf numFmtId="0" fontId="7" fillId="0" borderId="18" xfId="0" applyFont="1" applyBorder="1"/>
    <xf numFmtId="0" fontId="0" fillId="0" borderId="29" xfId="0" applyBorder="1"/>
    <xf numFmtId="0" fontId="0" fillId="0" borderId="13" xfId="0" applyBorder="1"/>
    <xf numFmtId="0" fontId="0" fillId="0" borderId="3" xfId="0" applyBorder="1" applyAlignment="1">
      <alignment wrapText="1"/>
    </xf>
    <xf numFmtId="0" fontId="7" fillId="0" borderId="0" xfId="0" applyFont="1" applyBorder="1"/>
    <xf numFmtId="0" fontId="0" fillId="0" borderId="5" xfId="0" applyBorder="1"/>
    <xf numFmtId="0" fontId="0" fillId="0" borderId="18" xfId="0" applyBorder="1"/>
    <xf numFmtId="0" fontId="0" fillId="0" borderId="17" xfId="0" applyBorder="1"/>
    <xf numFmtId="0" fontId="0" fillId="0" borderId="4" xfId="0" applyBorder="1"/>
    <xf numFmtId="9" fontId="0" fillId="0" borderId="0" xfId="0" applyNumberFormat="1" applyBorder="1"/>
    <xf numFmtId="164" fontId="0" fillId="0" borderId="2" xfId="2" applyNumberFormat="1" applyFont="1" applyBorder="1"/>
    <xf numFmtId="164" fontId="0" fillId="0" borderId="2" xfId="2" applyNumberFormat="1" applyFont="1" applyBorder="1" applyAlignment="1">
      <alignment wrapText="1"/>
    </xf>
    <xf numFmtId="0" fontId="0" fillId="0" borderId="26" xfId="0" applyBorder="1" applyAlignment="1">
      <alignment horizontal="center"/>
    </xf>
    <xf numFmtId="0" fontId="0" fillId="0" borderId="16" xfId="0" applyBorder="1" applyAlignment="1">
      <alignment wrapText="1"/>
    </xf>
    <xf numFmtId="164" fontId="7" fillId="0" borderId="0" xfId="2" applyNumberFormat="1" applyFont="1" applyBorder="1"/>
    <xf numFmtId="0" fontId="0" fillId="0" borderId="0" xfId="0" applyBorder="1" applyAlignment="1">
      <alignment horizontal="center" wrapText="1"/>
    </xf>
    <xf numFmtId="164" fontId="7" fillId="0" borderId="0" xfId="0" applyNumberFormat="1" applyFont="1"/>
    <xf numFmtId="9" fontId="7" fillId="0" borderId="0" xfId="1" applyFont="1"/>
    <xf numFmtId="0" fontId="0" fillId="0" borderId="0" xfId="0" applyAlignment="1">
      <alignment horizontal="right"/>
    </xf>
    <xf numFmtId="0" fontId="7" fillId="0" borderId="30" xfId="0" applyFont="1" applyBorder="1"/>
    <xf numFmtId="0" fontId="0" fillId="0" borderId="30" xfId="0" applyBorder="1"/>
    <xf numFmtId="164" fontId="0" fillId="0" borderId="30" xfId="2" applyNumberFormat="1" applyFont="1" applyBorder="1"/>
    <xf numFmtId="0" fontId="0" fillId="0" borderId="30" xfId="0" applyBorder="1" applyAlignment="1">
      <alignment horizontal="center"/>
    </xf>
    <xf numFmtId="44" fontId="7" fillId="0" borderId="0" xfId="2" applyNumberFormat="1" applyFont="1" applyBorder="1"/>
    <xf numFmtId="44" fontId="0" fillId="0" borderId="1" xfId="2" applyFont="1" applyFill="1" applyBorder="1" applyAlignment="1">
      <alignment horizontal="center" wrapText="1"/>
    </xf>
    <xf numFmtId="164" fontId="0" fillId="0" borderId="37" xfId="2" applyNumberFormat="1" applyFont="1" applyBorder="1"/>
    <xf numFmtId="164" fontId="7" fillId="0" borderId="38" xfId="2" applyNumberFormat="1" applyFont="1" applyBorder="1" applyAlignment="1">
      <alignment horizontal="right"/>
    </xf>
    <xf numFmtId="44" fontId="7" fillId="0" borderId="39" xfId="2" applyNumberFormat="1" applyFont="1" applyBorder="1" applyAlignment="1">
      <alignment wrapText="1"/>
    </xf>
    <xf numFmtId="0" fontId="4" fillId="0" borderId="0" xfId="12"/>
    <xf numFmtId="0" fontId="20" fillId="0" borderId="0" xfId="12" applyNumberFormat="1" applyFont="1" applyFill="1" applyBorder="1" applyAlignment="1" applyProtection="1">
      <alignment horizontal="center" wrapText="1"/>
    </xf>
    <xf numFmtId="0" fontId="7" fillId="0" borderId="14" xfId="0" applyFont="1" applyBorder="1"/>
    <xf numFmtId="0" fontId="20" fillId="12" borderId="41" xfId="12" applyNumberFormat="1" applyFont="1" applyFill="1" applyBorder="1" applyAlignment="1" applyProtection="1">
      <alignment horizontal="center"/>
    </xf>
    <xf numFmtId="0" fontId="20" fillId="22" borderId="42" xfId="12" applyNumberFormat="1" applyFont="1" applyFill="1" applyBorder="1" applyAlignment="1" applyProtection="1">
      <alignment horizontal="center" wrapText="1"/>
    </xf>
    <xf numFmtId="0" fontId="20" fillId="22" borderId="43" xfId="12" applyNumberFormat="1" applyFont="1" applyFill="1" applyBorder="1" applyAlignment="1" applyProtection="1">
      <alignment horizontal="center" wrapText="1"/>
    </xf>
    <xf numFmtId="0" fontId="17" fillId="2" borderId="44" xfId="12" applyNumberFormat="1" applyFont="1" applyFill="1" applyBorder="1" applyAlignment="1" applyProtection="1">
      <alignment horizontal="center" wrapText="1"/>
    </xf>
    <xf numFmtId="0" fontId="20" fillId="2" borderId="42" xfId="12" applyNumberFormat="1" applyFont="1" applyFill="1" applyBorder="1" applyAlignment="1" applyProtection="1">
      <alignment horizontal="center" wrapText="1"/>
    </xf>
    <xf numFmtId="0" fontId="20" fillId="2" borderId="43" xfId="12" applyNumberFormat="1" applyFont="1" applyFill="1" applyBorder="1" applyAlignment="1" applyProtection="1">
      <alignment horizontal="center" wrapText="1"/>
    </xf>
    <xf numFmtId="0" fontId="20" fillId="2" borderId="45" xfId="12" applyNumberFormat="1" applyFont="1" applyFill="1" applyBorder="1" applyAlignment="1" applyProtection="1">
      <alignment horizontal="center" wrapText="1"/>
    </xf>
    <xf numFmtId="0" fontId="20" fillId="2" borderId="40" xfId="12" applyNumberFormat="1" applyFont="1" applyFill="1" applyBorder="1" applyAlignment="1" applyProtection="1">
      <alignment horizontal="center" wrapText="1"/>
    </xf>
    <xf numFmtId="0" fontId="20" fillId="2" borderId="46" xfId="12" applyNumberFormat="1" applyFont="1" applyFill="1" applyBorder="1" applyAlignment="1" applyProtection="1">
      <alignment horizontal="center" wrapText="1"/>
    </xf>
    <xf numFmtId="0" fontId="20" fillId="13" borderId="41" xfId="12" applyNumberFormat="1" applyFont="1" applyFill="1" applyBorder="1" applyAlignment="1" applyProtection="1">
      <alignment horizontal="center" wrapText="1"/>
    </xf>
    <xf numFmtId="0" fontId="20" fillId="13" borderId="42" xfId="12" applyNumberFormat="1" applyFont="1" applyFill="1" applyBorder="1" applyAlignment="1" applyProtection="1">
      <alignment horizontal="center" wrapText="1"/>
    </xf>
    <xf numFmtId="44" fontId="20" fillId="13" borderId="42" xfId="14" applyFont="1" applyFill="1" applyBorder="1" applyAlignment="1" applyProtection="1">
      <alignment horizontal="center" wrapText="1"/>
    </xf>
    <xf numFmtId="0" fontId="20" fillId="13" borderId="43" xfId="12" applyNumberFormat="1" applyFont="1" applyFill="1" applyBorder="1" applyAlignment="1" applyProtection="1">
      <alignment horizontal="center" wrapText="1"/>
    </xf>
    <xf numFmtId="0" fontId="0" fillId="9" borderId="30" xfId="0" applyFill="1" applyBorder="1"/>
    <xf numFmtId="165" fontId="0" fillId="0" borderId="30" xfId="4" applyNumberFormat="1" applyFont="1" applyBorder="1"/>
    <xf numFmtId="164" fontId="0" fillId="0" borderId="30" xfId="2" applyNumberFormat="1" applyFont="1" applyFill="1" applyBorder="1"/>
    <xf numFmtId="164" fontId="0" fillId="0" borderId="0" xfId="2" applyNumberFormat="1" applyFont="1" applyFill="1" applyBorder="1"/>
    <xf numFmtId="0" fontId="0" fillId="0" borderId="0" xfId="0" applyBorder="1" applyAlignment="1">
      <alignment horizontal="center"/>
    </xf>
    <xf numFmtId="0" fontId="0" fillId="0" borderId="30" xfId="0" applyFill="1" applyBorder="1" applyAlignment="1">
      <alignment horizontal="left"/>
    </xf>
    <xf numFmtId="0" fontId="0" fillId="0" borderId="30" xfId="0" applyFill="1" applyBorder="1" applyAlignment="1">
      <alignment wrapText="1"/>
    </xf>
    <xf numFmtId="0" fontId="3" fillId="0" borderId="30" xfId="30" applyFill="1" applyBorder="1"/>
    <xf numFmtId="0" fontId="3" fillId="0" borderId="30" xfId="32" applyFill="1" applyBorder="1"/>
    <xf numFmtId="0" fontId="0" fillId="0" borderId="30" xfId="0" applyFill="1" applyBorder="1" applyAlignment="1">
      <alignment horizontal="center" wrapText="1"/>
    </xf>
    <xf numFmtId="165" fontId="0" fillId="0" borderId="5" xfId="0" applyNumberFormat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44" fontId="0" fillId="0" borderId="5" xfId="2" applyFont="1" applyBorder="1" applyAlignment="1">
      <alignment horizontal="center"/>
    </xf>
    <xf numFmtId="44" fontId="0" fillId="0" borderId="0" xfId="2" applyFont="1" applyBorder="1" applyAlignment="1">
      <alignment horizontal="center"/>
    </xf>
    <xf numFmtId="165" fontId="0" fillId="0" borderId="5" xfId="4" applyNumberFormat="1" applyFont="1" applyBorder="1" applyAlignment="1">
      <alignment horizontal="center"/>
    </xf>
    <xf numFmtId="165" fontId="0" fillId="0" borderId="5" xfId="0" applyNumberFormat="1" applyBorder="1" applyAlignment="1"/>
    <xf numFmtId="165" fontId="0" fillId="0" borderId="0" xfId="0" applyNumberFormat="1" applyBorder="1" applyAlignment="1"/>
    <xf numFmtId="165" fontId="0" fillId="0" borderId="0" xfId="0" applyNumberFormat="1" applyBorder="1" applyAlignment="1">
      <alignment horizontal="center"/>
    </xf>
    <xf numFmtId="164" fontId="0" fillId="0" borderId="5" xfId="2" applyNumberFormat="1" applyFont="1" applyBorder="1" applyAlignment="1">
      <alignment horizontal="center"/>
    </xf>
    <xf numFmtId="164" fontId="0" fillId="0" borderId="0" xfId="2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13" xfId="0" applyFont="1" applyBorder="1"/>
    <xf numFmtId="0" fontId="28" fillId="0" borderId="30" xfId="32" applyFont="1" applyBorder="1"/>
    <xf numFmtId="0" fontId="28" fillId="0" borderId="0" xfId="32" applyFont="1" applyAlignment="1">
      <alignment horizontal="center"/>
    </xf>
    <xf numFmtId="0" fontId="28" fillId="0" borderId="0" xfId="32" applyFont="1"/>
    <xf numFmtId="0" fontId="29" fillId="0" borderId="29" xfId="32" applyFont="1" applyBorder="1" applyAlignment="1">
      <alignment vertical="top" wrapText="1"/>
    </xf>
    <xf numFmtId="0" fontId="29" fillId="0" borderId="29" xfId="32" applyFont="1" applyBorder="1" applyAlignment="1">
      <alignment vertical="center"/>
    </xf>
    <xf numFmtId="0" fontId="28" fillId="0" borderId="0" xfId="32" applyFont="1" applyAlignment="1">
      <alignment textRotation="68"/>
    </xf>
    <xf numFmtId="0" fontId="29" fillId="0" borderId="0" xfId="32" applyFont="1" applyAlignment="1">
      <alignment horizontal="center"/>
    </xf>
    <xf numFmtId="165" fontId="28" fillId="0" borderId="0" xfId="34" applyNumberFormat="1" applyFont="1"/>
    <xf numFmtId="0" fontId="28" fillId="0" borderId="0" xfId="32" applyFont="1" applyFill="1"/>
    <xf numFmtId="0" fontId="28" fillId="0" borderId="30" xfId="32" applyFont="1" applyBorder="1" applyAlignment="1">
      <alignment horizontal="center"/>
    </xf>
    <xf numFmtId="165" fontId="28" fillId="0" borderId="30" xfId="34" applyNumberFormat="1" applyFont="1" applyBorder="1"/>
    <xf numFmtId="0" fontId="0" fillId="9" borderId="17" xfId="0" applyFill="1" applyBorder="1" applyAlignment="1">
      <alignment horizontal="center"/>
    </xf>
    <xf numFmtId="0" fontId="29" fillId="0" borderId="0" xfId="32" applyFont="1" applyFill="1" applyBorder="1" applyAlignment="1">
      <alignment horizontal="center" textRotation="68"/>
    </xf>
    <xf numFmtId="165" fontId="28" fillId="0" borderId="0" xfId="34" applyNumberFormat="1" applyFont="1" applyFill="1" applyBorder="1"/>
    <xf numFmtId="165" fontId="0" fillId="0" borderId="0" xfId="0" applyNumberFormat="1" applyFill="1" applyBorder="1" applyAlignment="1"/>
    <xf numFmtId="165" fontId="0" fillId="0" borderId="0" xfId="4" applyNumberFormat="1" applyFont="1" applyFill="1" applyBorder="1" applyAlignment="1">
      <alignment horizontal="center"/>
    </xf>
    <xf numFmtId="44" fontId="0" fillId="0" borderId="0" xfId="2" applyFont="1" applyFill="1" applyBorder="1" applyAlignment="1">
      <alignment horizontal="center"/>
    </xf>
    <xf numFmtId="164" fontId="0" fillId="0" borderId="0" xfId="2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right"/>
    </xf>
    <xf numFmtId="0" fontId="29" fillId="4" borderId="36" xfId="32" applyFont="1" applyFill="1" applyBorder="1" applyAlignment="1"/>
    <xf numFmtId="164" fontId="0" fillId="0" borderId="30" xfId="2" applyNumberFormat="1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 wrapText="1"/>
    </xf>
    <xf numFmtId="164" fontId="0" fillId="0" borderId="14" xfId="2" applyNumberFormat="1" applyFont="1" applyBorder="1"/>
    <xf numFmtId="164" fontId="0" fillId="0" borderId="14" xfId="0" applyNumberFormat="1" applyBorder="1"/>
    <xf numFmtId="0" fontId="7" fillId="4" borderId="31" xfId="0" applyFont="1" applyFill="1" applyBorder="1" applyAlignment="1">
      <alignment horizontal="center"/>
    </xf>
    <xf numFmtId="0" fontId="7" fillId="4" borderId="32" xfId="0" applyFont="1" applyFill="1" applyBorder="1" applyAlignment="1">
      <alignment horizontal="center" wrapText="1"/>
    </xf>
    <xf numFmtId="165" fontId="0" fillId="0" borderId="14" xfId="4" applyNumberFormat="1" applyFont="1" applyBorder="1"/>
    <xf numFmtId="44" fontId="0" fillId="0" borderId="14" xfId="2" applyFont="1" applyBorder="1"/>
    <xf numFmtId="44" fontId="0" fillId="0" borderId="30" xfId="2" applyFont="1" applyBorder="1"/>
    <xf numFmtId="164" fontId="0" fillId="0" borderId="26" xfId="2" applyNumberFormat="1" applyFont="1" applyBorder="1"/>
    <xf numFmtId="164" fontId="0" fillId="0" borderId="47" xfId="2" applyNumberFormat="1" applyFont="1" applyBorder="1"/>
    <xf numFmtId="0" fontId="7" fillId="4" borderId="1" xfId="0" applyFont="1" applyFill="1" applyBorder="1" applyAlignment="1">
      <alignment horizontal="center"/>
    </xf>
    <xf numFmtId="164" fontId="0" fillId="0" borderId="25" xfId="2" applyNumberFormat="1" applyFont="1" applyBorder="1"/>
    <xf numFmtId="44" fontId="7" fillId="0" borderId="0" xfId="0" applyNumberFormat="1" applyFont="1" applyBorder="1"/>
    <xf numFmtId="164" fontId="7" fillId="0" borderId="0" xfId="0" applyNumberFormat="1" applyFont="1" applyBorder="1"/>
    <xf numFmtId="44" fontId="0" fillId="0" borderId="0" xfId="2" applyNumberFormat="1" applyFont="1" applyBorder="1"/>
    <xf numFmtId="0" fontId="0" fillId="10" borderId="0" xfId="0" applyFill="1"/>
    <xf numFmtId="0" fontId="7" fillId="10" borderId="0" xfId="0" applyFont="1" applyFill="1"/>
    <xf numFmtId="165" fontId="7" fillId="10" borderId="0" xfId="4" applyNumberFormat="1" applyFont="1" applyFill="1"/>
    <xf numFmtId="44" fontId="7" fillId="10" borderId="0" xfId="2" applyFont="1" applyFill="1"/>
    <xf numFmtId="44" fontId="6" fillId="10" borderId="0" xfId="2" applyFont="1" applyFill="1"/>
    <xf numFmtId="44" fontId="0" fillId="10" borderId="0" xfId="0" applyNumberFormat="1" applyFont="1" applyFill="1"/>
    <xf numFmtId="43" fontId="6" fillId="10" borderId="0" xfId="4" applyNumberFormat="1" applyFont="1" applyFill="1"/>
    <xf numFmtId="0" fontId="0" fillId="11" borderId="0" xfId="0" applyFill="1"/>
    <xf numFmtId="165" fontId="7" fillId="11" borderId="0" xfId="4" applyNumberFormat="1" applyFont="1" applyFill="1"/>
    <xf numFmtId="0" fontId="7" fillId="11" borderId="0" xfId="0" applyFont="1" applyFill="1"/>
    <xf numFmtId="165" fontId="0" fillId="11" borderId="0" xfId="4" applyNumberFormat="1" applyFont="1" applyFill="1"/>
    <xf numFmtId="44" fontId="6" fillId="24" borderId="0" xfId="2" applyFont="1" applyFill="1" applyBorder="1"/>
    <xf numFmtId="0" fontId="0" fillId="24" borderId="0" xfId="0" applyFill="1"/>
    <xf numFmtId="0" fontId="7" fillId="24" borderId="0" xfId="0" applyFont="1" applyFill="1"/>
    <xf numFmtId="0" fontId="29" fillId="4" borderId="41" xfId="32" applyFont="1" applyFill="1" applyBorder="1"/>
    <xf numFmtId="0" fontId="29" fillId="4" borderId="42" xfId="32" applyFont="1" applyFill="1" applyBorder="1" applyAlignment="1">
      <alignment horizontal="center"/>
    </xf>
    <xf numFmtId="0" fontId="29" fillId="4" borderId="43" xfId="32" applyFont="1" applyFill="1" applyBorder="1" applyAlignment="1">
      <alignment horizontal="center"/>
    </xf>
    <xf numFmtId="164" fontId="0" fillId="0" borderId="5" xfId="2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165" fontId="0" fillId="0" borderId="5" xfId="4" applyNumberFormat="1" applyFont="1" applyFill="1" applyBorder="1" applyAlignment="1">
      <alignment horizontal="center"/>
    </xf>
    <xf numFmtId="0" fontId="7" fillId="0" borderId="16" xfId="0" applyFont="1" applyFill="1" applyBorder="1"/>
    <xf numFmtId="0" fontId="0" fillId="0" borderId="29" xfId="0" applyFill="1" applyBorder="1"/>
    <xf numFmtId="0" fontId="7" fillId="4" borderId="40" xfId="0" applyFont="1" applyFill="1" applyBorder="1" applyAlignment="1">
      <alignment horizontal="center" wrapText="1"/>
    </xf>
    <xf numFmtId="0" fontId="7" fillId="4" borderId="14" xfId="0" applyFont="1" applyFill="1" applyBorder="1" applyAlignment="1">
      <alignment horizontal="center"/>
    </xf>
    <xf numFmtId="0" fontId="0" fillId="0" borderId="34" xfId="0" applyBorder="1"/>
    <xf numFmtId="164" fontId="0" fillId="0" borderId="34" xfId="0" applyNumberFormat="1" applyBorder="1"/>
    <xf numFmtId="164" fontId="0" fillId="0" borderId="0" xfId="0" applyNumberFormat="1" applyAlignment="1">
      <alignment horizontal="right"/>
    </xf>
    <xf numFmtId="44" fontId="0" fillId="0" borderId="34" xfId="0" applyNumberFormat="1" applyBorder="1"/>
    <xf numFmtId="0" fontId="7" fillId="4" borderId="40" xfId="0" applyFont="1" applyFill="1" applyBorder="1" applyAlignment="1">
      <alignment horizontal="center"/>
    </xf>
    <xf numFmtId="165" fontId="0" fillId="0" borderId="30" xfId="4" applyNumberFormat="1" applyFont="1" applyBorder="1" applyAlignment="1">
      <alignment horizontal="center"/>
    </xf>
    <xf numFmtId="44" fontId="0" fillId="0" borderId="30" xfId="0" applyNumberFormat="1" applyBorder="1"/>
    <xf numFmtId="0" fontId="0" fillId="0" borderId="30" xfId="0" applyBorder="1" applyAlignment="1"/>
    <xf numFmtId="1" fontId="0" fillId="0" borderId="0" xfId="0" applyNumberFormat="1" applyBorder="1"/>
    <xf numFmtId="0" fontId="20" fillId="23" borderId="45" xfId="12" applyNumberFormat="1" applyFont="1" applyFill="1" applyBorder="1" applyAlignment="1" applyProtection="1">
      <alignment horizontal="center" wrapText="1"/>
    </xf>
    <xf numFmtId="0" fontId="20" fillId="23" borderId="14" xfId="12" applyNumberFormat="1" applyFont="1" applyFill="1" applyBorder="1" applyAlignment="1" applyProtection="1">
      <alignment horizontal="center" wrapText="1"/>
    </xf>
    <xf numFmtId="0" fontId="0" fillId="0" borderId="0" xfId="0" applyFont="1" applyAlignment="1"/>
    <xf numFmtId="44" fontId="7" fillId="0" borderId="0" xfId="2" applyFont="1" applyBorder="1"/>
    <xf numFmtId="165" fontId="0" fillId="0" borderId="0" xfId="4" applyNumberFormat="1" applyFont="1" applyBorder="1"/>
    <xf numFmtId="164" fontId="0" fillId="0" borderId="0" xfId="0" applyNumberFormat="1" applyFill="1" applyAlignment="1">
      <alignment wrapText="1"/>
    </xf>
    <xf numFmtId="0" fontId="0" fillId="0" borderId="13" xfId="0" applyFill="1" applyBorder="1" applyAlignment="1">
      <alignment wrapText="1"/>
    </xf>
    <xf numFmtId="0" fontId="0" fillId="0" borderId="16" xfId="0" applyFill="1" applyBorder="1" applyAlignment="1">
      <alignment wrapText="1"/>
    </xf>
    <xf numFmtId="44" fontId="0" fillId="0" borderId="5" xfId="0" applyNumberFormat="1" applyFill="1" applyBorder="1" applyAlignment="1">
      <alignment wrapText="1"/>
    </xf>
    <xf numFmtId="0" fontId="0" fillId="7" borderId="18" xfId="0" applyFill="1" applyBorder="1" applyAlignment="1">
      <alignment horizontal="left"/>
    </xf>
    <xf numFmtId="164" fontId="0" fillId="7" borderId="17" xfId="0" applyNumberFormat="1" applyFill="1" applyBorder="1" applyAlignment="1">
      <alignment wrapText="1"/>
    </xf>
    <xf numFmtId="164" fontId="0" fillId="0" borderId="4" xfId="0" applyNumberFormat="1" applyFill="1" applyBorder="1" applyAlignment="1">
      <alignment wrapText="1"/>
    </xf>
    <xf numFmtId="2" fontId="0" fillId="0" borderId="9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" fontId="0" fillId="0" borderId="0" xfId="0" applyNumberFormat="1"/>
    <xf numFmtId="0" fontId="7" fillId="0" borderId="0" xfId="0" applyFont="1" applyFill="1"/>
    <xf numFmtId="44" fontId="0" fillId="0" borderId="14" xfId="0" applyNumberFormat="1" applyBorder="1"/>
    <xf numFmtId="0" fontId="7" fillId="3" borderId="30" xfId="0" applyFont="1" applyFill="1" applyBorder="1"/>
    <xf numFmtId="0" fontId="7" fillId="3" borderId="30" xfId="0" applyFont="1" applyFill="1" applyBorder="1" applyAlignment="1">
      <alignment horizontal="center" wrapText="1"/>
    </xf>
    <xf numFmtId="0" fontId="0" fillId="0" borderId="0" xfId="0" applyFont="1" applyFill="1"/>
    <xf numFmtId="0" fontId="0" fillId="0" borderId="30" xfId="0" applyFill="1" applyBorder="1"/>
    <xf numFmtId="1" fontId="0" fillId="0" borderId="0" xfId="0" applyNumberFormat="1" applyFill="1" applyBorder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/>
    <xf numFmtId="44" fontId="0" fillId="0" borderId="0" xfId="0" applyNumberFormat="1" applyBorder="1" applyAlignment="1">
      <alignment horizontal="center"/>
    </xf>
    <xf numFmtId="44" fontId="0" fillId="0" borderId="5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0" fontId="7" fillId="3" borderId="30" xfId="0" applyFon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2" fontId="0" fillId="0" borderId="15" xfId="0" applyNumberFormat="1" applyFont="1" applyFill="1" applyBorder="1" applyAlignment="1">
      <alignment horizontal="center"/>
    </xf>
    <xf numFmtId="0" fontId="30" fillId="0" borderId="0" xfId="32" applyFont="1" applyAlignment="1"/>
    <xf numFmtId="164" fontId="0" fillId="0" borderId="30" xfId="2" applyNumberFormat="1" applyFont="1" applyBorder="1" applyAlignment="1">
      <alignment horizontal="center"/>
    </xf>
    <xf numFmtId="37" fontId="0" fillId="0" borderId="30" xfId="2" applyNumberFormat="1" applyFont="1" applyBorder="1" applyAlignment="1">
      <alignment horizontal="center"/>
    </xf>
    <xf numFmtId="6" fontId="0" fillId="0" borderId="30" xfId="0" applyNumberFormat="1" applyBorder="1" applyAlignment="1">
      <alignment horizontal="center"/>
    </xf>
    <xf numFmtId="0" fontId="20" fillId="2" borderId="50" xfId="12" applyNumberFormat="1" applyFont="1" applyFill="1" applyBorder="1" applyAlignment="1" applyProtection="1">
      <alignment horizontal="center" wrapText="1"/>
    </xf>
    <xf numFmtId="0" fontId="20" fillId="13" borderId="50" xfId="12" applyNumberFormat="1" applyFont="1" applyFill="1" applyBorder="1" applyAlignment="1" applyProtection="1">
      <alignment horizontal="center" wrapText="1"/>
    </xf>
    <xf numFmtId="43" fontId="0" fillId="0" borderId="30" xfId="4" applyFont="1" applyBorder="1"/>
    <xf numFmtId="0" fontId="20" fillId="0" borderId="0" xfId="12" applyNumberFormat="1" applyFont="1" applyFill="1" applyBorder="1" applyAlignment="1" applyProtection="1">
      <alignment horizontal="center"/>
    </xf>
    <xf numFmtId="0" fontId="20" fillId="12" borderId="30" xfId="12" applyNumberFormat="1" applyFont="1" applyFill="1" applyBorder="1" applyAlignment="1" applyProtection="1">
      <alignment horizontal="center" wrapText="1"/>
    </xf>
    <xf numFmtId="3" fontId="0" fillId="0" borderId="30" xfId="0" applyNumberForma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5" xfId="0" applyNumberFormat="1" applyFill="1" applyBorder="1" applyAlignment="1">
      <alignment horizontal="center"/>
    </xf>
    <xf numFmtId="2" fontId="0" fillId="0" borderId="7" xfId="0" applyNumberFormat="1" applyFont="1" applyFill="1" applyBorder="1" applyAlignment="1">
      <alignment horizontal="center"/>
    </xf>
    <xf numFmtId="0" fontId="7" fillId="2" borderId="30" xfId="0" applyFont="1" applyFill="1" applyBorder="1"/>
    <xf numFmtId="165" fontId="7" fillId="0" borderId="30" xfId="4" applyNumberFormat="1" applyFont="1" applyBorder="1"/>
    <xf numFmtId="165" fontId="7" fillId="0" borderId="14" xfId="4" applyNumberFormat="1" applyFont="1" applyBorder="1"/>
    <xf numFmtId="165" fontId="0" fillId="0" borderId="30" xfId="0" applyNumberFormat="1" applyBorder="1"/>
    <xf numFmtId="0" fontId="7" fillId="3" borderId="21" xfId="0" applyFont="1" applyFill="1" applyBorder="1" applyAlignment="1">
      <alignment horizontal="center"/>
    </xf>
    <xf numFmtId="0" fontId="7" fillId="3" borderId="22" xfId="0" applyFont="1" applyFill="1" applyBorder="1"/>
    <xf numFmtId="0" fontId="7" fillId="3" borderId="24" xfId="0" applyFont="1" applyFill="1" applyBorder="1"/>
    <xf numFmtId="43" fontId="7" fillId="0" borderId="0" xfId="0" applyNumberFormat="1" applyFont="1" applyAlignment="1">
      <alignment horizontal="center"/>
    </xf>
    <xf numFmtId="0" fontId="32" fillId="25" borderId="34" xfId="0" applyFont="1" applyFill="1" applyBorder="1" applyAlignment="1">
      <alignment horizontal="center" wrapText="1"/>
    </xf>
    <xf numFmtId="0" fontId="33" fillId="0" borderId="30" xfId="0" applyFont="1" applyBorder="1"/>
    <xf numFmtId="0" fontId="33" fillId="0" borderId="30" xfId="0" applyFont="1" applyBorder="1" applyAlignment="1">
      <alignment shrinkToFit="1"/>
    </xf>
    <xf numFmtId="0" fontId="33" fillId="0" borderId="30" xfId="0" applyFont="1" applyBorder="1" applyAlignment="1">
      <alignment horizontal="center" shrinkToFit="1"/>
    </xf>
    <xf numFmtId="0" fontId="33" fillId="0" borderId="30" xfId="0" applyFont="1" applyBorder="1" applyAlignment="1">
      <alignment horizontal="center"/>
    </xf>
    <xf numFmtId="1" fontId="33" fillId="0" borderId="30" xfId="0" applyNumberFormat="1" applyFont="1" applyBorder="1"/>
    <xf numFmtId="3" fontId="33" fillId="0" borderId="30" xfId="0" applyNumberFormat="1" applyFont="1" applyBorder="1"/>
    <xf numFmtId="0" fontId="33" fillId="26" borderId="30" xfId="0" applyFont="1" applyFill="1" applyBorder="1"/>
    <xf numFmtId="0" fontId="33" fillId="26" borderId="30" xfId="0" applyFont="1" applyFill="1" applyBorder="1" applyAlignment="1">
      <alignment shrinkToFit="1"/>
    </xf>
    <xf numFmtId="0" fontId="33" fillId="26" borderId="30" xfId="0" applyFont="1" applyFill="1" applyBorder="1" applyAlignment="1">
      <alignment horizontal="center" shrinkToFit="1"/>
    </xf>
    <xf numFmtId="0" fontId="33" fillId="26" borderId="30" xfId="0" applyFont="1" applyFill="1" applyBorder="1" applyAlignment="1">
      <alignment horizontal="center"/>
    </xf>
    <xf numFmtId="1" fontId="33" fillId="26" borderId="30" xfId="0" applyNumberFormat="1" applyFont="1" applyFill="1" applyBorder="1"/>
    <xf numFmtId="3" fontId="33" fillId="26" borderId="30" xfId="0" applyNumberFormat="1" applyFont="1" applyFill="1" applyBorder="1"/>
    <xf numFmtId="0" fontId="33" fillId="0" borderId="14" xfId="0" applyFont="1" applyBorder="1"/>
    <xf numFmtId="0" fontId="33" fillId="0" borderId="14" xfId="0" applyFont="1" applyBorder="1" applyAlignment="1">
      <alignment shrinkToFit="1"/>
    </xf>
    <xf numFmtId="0" fontId="33" fillId="0" borderId="14" xfId="0" applyFont="1" applyBorder="1" applyAlignment="1">
      <alignment horizontal="center" shrinkToFit="1"/>
    </xf>
    <xf numFmtId="0" fontId="33" fillId="0" borderId="14" xfId="0" applyFont="1" applyBorder="1" applyAlignment="1">
      <alignment horizontal="center"/>
    </xf>
    <xf numFmtId="1" fontId="33" fillId="0" borderId="14" xfId="0" applyNumberFormat="1" applyFont="1" applyBorder="1"/>
    <xf numFmtId="3" fontId="33" fillId="0" borderId="14" xfId="0" applyNumberFormat="1" applyFont="1" applyBorder="1"/>
    <xf numFmtId="3" fontId="34" fillId="0" borderId="30" xfId="0" applyNumberFormat="1" applyFont="1" applyBorder="1" applyAlignment="1">
      <alignment horizontal="right"/>
    </xf>
    <xf numFmtId="3" fontId="34" fillId="0" borderId="30" xfId="0" applyNumberFormat="1" applyFont="1" applyBorder="1"/>
    <xf numFmtId="44" fontId="0" fillId="0" borderId="34" xfId="2" applyFont="1" applyBorder="1"/>
    <xf numFmtId="165" fontId="0" fillId="0" borderId="34" xfId="4" applyNumberFormat="1" applyFont="1" applyBorder="1"/>
    <xf numFmtId="0" fontId="0" fillId="24" borderId="0" xfId="0" applyFill="1" applyBorder="1"/>
    <xf numFmtId="0" fontId="7" fillId="0" borderId="0" xfId="0" applyFont="1" applyFill="1" applyBorder="1" applyAlignment="1">
      <alignment horizontal="center" wrapText="1"/>
    </xf>
    <xf numFmtId="0" fontId="33" fillId="0" borderId="30" xfId="0" applyFont="1" applyFill="1" applyBorder="1"/>
    <xf numFmtId="0" fontId="32" fillId="25" borderId="34" xfId="0" applyFont="1" applyFill="1" applyBorder="1" applyAlignment="1">
      <alignment horizontal="center" wrapText="1"/>
    </xf>
    <xf numFmtId="0" fontId="32" fillId="25" borderId="34" xfId="0" applyFont="1" applyFill="1" applyBorder="1" applyAlignment="1">
      <alignment horizontal="center" wrapText="1"/>
    </xf>
    <xf numFmtId="0" fontId="33" fillId="0" borderId="30" xfId="0" applyFont="1" applyBorder="1"/>
    <xf numFmtId="0" fontId="33" fillId="0" borderId="30" xfId="0" applyFont="1" applyBorder="1" applyAlignment="1">
      <alignment shrinkToFit="1"/>
    </xf>
    <xf numFmtId="0" fontId="33" fillId="0" borderId="30" xfId="0" applyFont="1" applyBorder="1" applyAlignment="1">
      <alignment horizontal="center" shrinkToFit="1"/>
    </xf>
    <xf numFmtId="0" fontId="33" fillId="0" borderId="30" xfId="0" applyFont="1" applyBorder="1" applyAlignment="1">
      <alignment horizontal="center"/>
    </xf>
    <xf numFmtId="1" fontId="33" fillId="0" borderId="30" xfId="0" applyNumberFormat="1" applyFont="1" applyBorder="1"/>
    <xf numFmtId="3" fontId="33" fillId="0" borderId="30" xfId="0" applyNumberFormat="1" applyFont="1" applyBorder="1"/>
    <xf numFmtId="0" fontId="33" fillId="0" borderId="30" xfId="0" applyFont="1" applyFill="1" applyBorder="1" applyAlignment="1">
      <alignment horizontal="center" shrinkToFit="1"/>
    </xf>
    <xf numFmtId="0" fontId="33" fillId="0" borderId="30" xfId="0" applyFont="1" applyFill="1" applyBorder="1" applyAlignment="1">
      <alignment shrinkToFit="1"/>
    </xf>
    <xf numFmtId="0" fontId="33" fillId="0" borderId="30" xfId="0" applyFont="1" applyFill="1" applyBorder="1" applyAlignment="1">
      <alignment horizontal="center"/>
    </xf>
    <xf numFmtId="1" fontId="33" fillId="0" borderId="30" xfId="0" applyNumberFormat="1" applyFont="1" applyFill="1" applyBorder="1"/>
    <xf numFmtId="3" fontId="33" fillId="0" borderId="30" xfId="0" applyNumberFormat="1" applyFont="1" applyFill="1" applyBorder="1"/>
    <xf numFmtId="0" fontId="32" fillId="25" borderId="34" xfId="0" applyFont="1" applyFill="1" applyBorder="1" applyAlignment="1">
      <alignment horizontal="center" wrapText="1"/>
    </xf>
    <xf numFmtId="0" fontId="33" fillId="0" borderId="30" xfId="0" applyFont="1" applyBorder="1"/>
    <xf numFmtId="0" fontId="33" fillId="0" borderId="30" xfId="0" applyFont="1" applyBorder="1" applyAlignment="1">
      <alignment shrinkToFit="1"/>
    </xf>
    <xf numFmtId="0" fontId="33" fillId="0" borderId="30" xfId="0" applyFont="1" applyBorder="1" applyAlignment="1">
      <alignment horizontal="center" shrinkToFit="1"/>
    </xf>
    <xf numFmtId="0" fontId="33" fillId="0" borderId="30" xfId="0" applyFont="1" applyBorder="1" applyAlignment="1">
      <alignment horizontal="center"/>
    </xf>
    <xf numFmtId="1" fontId="33" fillId="0" borderId="30" xfId="46" applyNumberFormat="1" applyFont="1" applyBorder="1"/>
    <xf numFmtId="3" fontId="33" fillId="0" borderId="30" xfId="46" applyNumberFormat="1" applyFont="1" applyBorder="1"/>
    <xf numFmtId="0" fontId="33" fillId="0" borderId="30" xfId="46" applyFont="1" applyBorder="1"/>
    <xf numFmtId="0" fontId="33" fillId="0" borderId="30" xfId="46" applyFont="1" applyBorder="1" applyAlignment="1">
      <alignment horizontal="center" shrinkToFit="1"/>
    </xf>
    <xf numFmtId="0" fontId="33" fillId="9" borderId="14" xfId="0" applyFont="1" applyFill="1" applyBorder="1"/>
    <xf numFmtId="0" fontId="33" fillId="9" borderId="30" xfId="0" applyFont="1" applyFill="1" applyBorder="1"/>
    <xf numFmtId="0" fontId="32" fillId="9" borderId="34" xfId="0" applyFont="1" applyFill="1" applyBorder="1" applyAlignment="1">
      <alignment horizontal="center" wrapText="1"/>
    </xf>
    <xf numFmtId="0" fontId="0" fillId="4" borderId="37" xfId="0" applyFill="1" applyBorder="1"/>
    <xf numFmtId="0" fontId="0" fillId="4" borderId="38" xfId="0" applyFill="1" applyBorder="1"/>
    <xf numFmtId="0" fontId="0" fillId="4" borderId="39" xfId="0" applyFill="1" applyBorder="1"/>
    <xf numFmtId="0" fontId="7" fillId="0" borderId="13" xfId="0" applyFont="1" applyFill="1" applyBorder="1"/>
    <xf numFmtId="0" fontId="0" fillId="4" borderId="0" xfId="0" applyFill="1"/>
    <xf numFmtId="0" fontId="7" fillId="4" borderId="0" xfId="0" applyFont="1" applyFill="1" applyBorder="1"/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0" borderId="5" xfId="0" applyBorder="1" applyAlignment="1">
      <alignment wrapText="1"/>
    </xf>
    <xf numFmtId="0" fontId="7" fillId="0" borderId="4" xfId="0" applyFont="1" applyBorder="1"/>
    <xf numFmtId="0" fontId="0" fillId="0" borderId="0" xfId="0"/>
    <xf numFmtId="0" fontId="0" fillId="0" borderId="30" xfId="0" applyFill="1" applyBorder="1" applyAlignment="1">
      <alignment horizontal="left" wrapText="1"/>
    </xf>
    <xf numFmtId="0" fontId="32" fillId="25" borderId="34" xfId="0" applyFont="1" applyFill="1" applyBorder="1" applyAlignment="1">
      <alignment horizontal="center" wrapText="1"/>
    </xf>
    <xf numFmtId="0" fontId="33" fillId="0" borderId="30" xfId="0" applyFont="1" applyBorder="1"/>
    <xf numFmtId="0" fontId="33" fillId="0" borderId="30" xfId="0" applyFont="1" applyBorder="1" applyAlignment="1">
      <alignment shrinkToFit="1"/>
    </xf>
    <xf numFmtId="0" fontId="33" fillId="0" borderId="30" xfId="0" applyFont="1" applyBorder="1" applyAlignment="1">
      <alignment horizontal="center" shrinkToFit="1"/>
    </xf>
    <xf numFmtId="0" fontId="33" fillId="0" borderId="30" xfId="0" applyFont="1" applyBorder="1" applyAlignment="1">
      <alignment horizontal="center"/>
    </xf>
    <xf numFmtId="1" fontId="33" fillId="0" borderId="30" xfId="0" applyNumberFormat="1" applyFont="1" applyBorder="1"/>
    <xf numFmtId="3" fontId="33" fillId="0" borderId="30" xfId="0" applyNumberFormat="1" applyFont="1" applyBorder="1"/>
    <xf numFmtId="0" fontId="33" fillId="26" borderId="30" xfId="0" applyFont="1" applyFill="1" applyBorder="1"/>
    <xf numFmtId="0" fontId="33" fillId="26" borderId="30" xfId="0" applyFont="1" applyFill="1" applyBorder="1" applyAlignment="1">
      <alignment shrinkToFit="1"/>
    </xf>
    <xf numFmtId="0" fontId="33" fillId="26" borderId="30" xfId="0" applyFont="1" applyFill="1" applyBorder="1" applyAlignment="1">
      <alignment horizontal="center" shrinkToFit="1"/>
    </xf>
    <xf numFmtId="0" fontId="33" fillId="26" borderId="30" xfId="0" applyFont="1" applyFill="1" applyBorder="1" applyAlignment="1">
      <alignment horizontal="center"/>
    </xf>
    <xf numFmtId="1" fontId="33" fillId="26" borderId="30" xfId="0" applyNumberFormat="1" applyFont="1" applyFill="1" applyBorder="1"/>
    <xf numFmtId="3" fontId="33" fillId="26" borderId="30" xfId="0" applyNumberFormat="1" applyFont="1" applyFill="1" applyBorder="1"/>
    <xf numFmtId="1" fontId="33" fillId="0" borderId="30" xfId="46" applyNumberFormat="1" applyFont="1" applyBorder="1"/>
    <xf numFmtId="3" fontId="33" fillId="0" borderId="30" xfId="46" applyNumberFormat="1" applyFont="1" applyBorder="1"/>
    <xf numFmtId="1" fontId="33" fillId="26" borderId="30" xfId="46" applyNumberFormat="1" applyFont="1" applyFill="1" applyBorder="1"/>
    <xf numFmtId="3" fontId="33" fillId="26" borderId="30" xfId="46" applyNumberFormat="1" applyFont="1" applyFill="1" applyBorder="1"/>
    <xf numFmtId="0" fontId="33" fillId="0" borderId="30" xfId="46" applyFont="1" applyBorder="1"/>
    <xf numFmtId="0" fontId="33" fillId="0" borderId="30" xfId="46" applyFont="1" applyBorder="1" applyAlignment="1">
      <alignment horizontal="center" shrinkToFit="1"/>
    </xf>
    <xf numFmtId="0" fontId="33" fillId="26" borderId="30" xfId="46" applyFont="1" applyFill="1" applyBorder="1"/>
    <xf numFmtId="0" fontId="33" fillId="26" borderId="30" xfId="46" applyFont="1" applyFill="1" applyBorder="1" applyAlignment="1">
      <alignment horizontal="center" shrinkToFit="1"/>
    </xf>
    <xf numFmtId="3" fontId="34" fillId="0" borderId="30" xfId="0" applyNumberFormat="1" applyFont="1" applyBorder="1" applyAlignment="1">
      <alignment horizontal="right"/>
    </xf>
    <xf numFmtId="3" fontId="34" fillId="0" borderId="30" xfId="0" applyNumberFormat="1" applyFont="1" applyBorder="1"/>
    <xf numFmtId="2" fontId="0" fillId="0" borderId="0" xfId="0" applyNumberFormat="1" applyFill="1" applyBorder="1" applyAlignment="1">
      <alignment horizontal="center"/>
    </xf>
    <xf numFmtId="0" fontId="7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6" fillId="27" borderId="30" xfId="0" applyFont="1" applyFill="1" applyBorder="1" applyAlignment="1">
      <alignment horizontal="center" wrapText="1"/>
    </xf>
    <xf numFmtId="49" fontId="36" fillId="27" borderId="30" xfId="0" applyNumberFormat="1" applyFont="1" applyFill="1" applyBorder="1" applyAlignment="1">
      <alignment horizontal="center" wrapText="1"/>
    </xf>
    <xf numFmtId="0" fontId="0" fillId="0" borderId="30" xfId="0" applyFont="1" applyBorder="1" applyAlignment="1">
      <alignment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30" xfId="0" applyFont="1" applyFill="1" applyBorder="1" applyAlignment="1">
      <alignment vertical="center" wrapText="1"/>
    </xf>
    <xf numFmtId="49" fontId="36" fillId="0" borderId="0" xfId="0" applyNumberFormat="1" applyFont="1" applyFill="1" applyBorder="1" applyAlignment="1">
      <alignment horizontal="right" wrapText="1"/>
    </xf>
    <xf numFmtId="0" fontId="0" fillId="0" borderId="0" xfId="0" applyFont="1" applyAlignment="1">
      <alignment horizontal="center"/>
    </xf>
    <xf numFmtId="0" fontId="35" fillId="27" borderId="30" xfId="0" applyFont="1" applyFill="1" applyBorder="1" applyAlignment="1">
      <alignment horizontal="center" wrapText="1"/>
    </xf>
    <xf numFmtId="0" fontId="0" fillId="4" borderId="30" xfId="0" applyFont="1" applyFill="1" applyBorder="1" applyAlignment="1">
      <alignment horizontal="center" wrapText="1"/>
    </xf>
    <xf numFmtId="0" fontId="0" fillId="12" borderId="30" xfId="0" applyFont="1" applyFill="1" applyBorder="1" applyAlignment="1">
      <alignment horizontal="center" wrapText="1"/>
    </xf>
    <xf numFmtId="165" fontId="0" fillId="12" borderId="30" xfId="4" applyNumberFormat="1" applyFont="1" applyFill="1" applyBorder="1" applyAlignment="1">
      <alignment horizontal="center" wrapText="1"/>
    </xf>
    <xf numFmtId="0" fontId="0" fillId="0" borderId="30" xfId="4" applyNumberFormat="1" applyFont="1" applyBorder="1" applyAlignment="1">
      <alignment horizontal="center"/>
    </xf>
    <xf numFmtId="165" fontId="0" fillId="0" borderId="30" xfId="4" applyNumberFormat="1" applyFont="1" applyFill="1" applyBorder="1"/>
    <xf numFmtId="0" fontId="0" fillId="0" borderId="0" xfId="4" applyNumberFormat="1" applyFont="1" applyBorder="1" applyAlignment="1">
      <alignment horizontal="center"/>
    </xf>
    <xf numFmtId="165" fontId="0" fillId="0" borderId="0" xfId="4" applyNumberFormat="1" applyFont="1" applyFill="1" applyBorder="1"/>
    <xf numFmtId="0" fontId="20" fillId="27" borderId="30" xfId="0" applyNumberFormat="1" applyFont="1" applyFill="1" applyBorder="1" applyAlignment="1" applyProtection="1">
      <alignment horizontal="center" wrapText="1"/>
    </xf>
    <xf numFmtId="2" fontId="20" fillId="27" borderId="30" xfId="0" applyNumberFormat="1" applyFont="1" applyFill="1" applyBorder="1" applyAlignment="1" applyProtection="1">
      <alignment horizontal="center" wrapText="1"/>
    </xf>
    <xf numFmtId="165" fontId="17" fillId="27" borderId="30" xfId="0" applyNumberFormat="1" applyFont="1" applyFill="1" applyBorder="1" applyAlignment="1" applyProtection="1">
      <alignment horizontal="center" wrapText="1"/>
    </xf>
    <xf numFmtId="0" fontId="21" fillId="4" borderId="30" xfId="0" applyNumberFormat="1" applyFont="1" applyFill="1" applyBorder="1" applyAlignment="1" applyProtection="1">
      <alignment horizontal="center" wrapText="1"/>
    </xf>
    <xf numFmtId="2" fontId="21" fillId="4" borderId="30" xfId="0" applyNumberFormat="1" applyFont="1" applyFill="1" applyBorder="1" applyAlignment="1" applyProtection="1">
      <alignment horizontal="center" wrapText="1"/>
    </xf>
    <xf numFmtId="165" fontId="18" fillId="4" borderId="30" xfId="0" applyNumberFormat="1" applyFont="1" applyFill="1" applyBorder="1" applyAlignment="1" applyProtection="1">
      <alignment horizontal="center" wrapText="1"/>
    </xf>
    <xf numFmtId="165" fontId="16" fillId="0" borderId="30" xfId="0" applyNumberFormat="1" applyFont="1" applyFill="1" applyBorder="1" applyAlignment="1" applyProtection="1"/>
    <xf numFmtId="0" fontId="22" fillId="4" borderId="30" xfId="0" applyNumberFormat="1" applyFont="1" applyFill="1" applyBorder="1" applyAlignment="1" applyProtection="1">
      <alignment horizontal="center" wrapText="1"/>
    </xf>
    <xf numFmtId="1" fontId="22" fillId="4" borderId="30" xfId="0" applyNumberFormat="1" applyFont="1" applyFill="1" applyBorder="1" applyAlignment="1" applyProtection="1">
      <alignment horizontal="center" wrapText="1"/>
    </xf>
    <xf numFmtId="165" fontId="22" fillId="4" borderId="30" xfId="0" applyNumberFormat="1" applyFont="1" applyFill="1" applyBorder="1" applyAlignment="1" applyProtection="1">
      <alignment horizontal="center" wrapText="1"/>
    </xf>
    <xf numFmtId="164" fontId="22" fillId="4" borderId="30" xfId="0" applyNumberFormat="1" applyFont="1" applyFill="1" applyBorder="1" applyAlignment="1" applyProtection="1">
      <alignment horizontal="center" wrapText="1"/>
    </xf>
    <xf numFmtId="0" fontId="20" fillId="0" borderId="30" xfId="0" applyNumberFormat="1" applyFont="1" applyFill="1" applyBorder="1" applyAlignment="1" applyProtection="1"/>
    <xf numFmtId="49" fontId="0" fillId="0" borderId="30" xfId="0" applyNumberFormat="1" applyFont="1" applyFill="1" applyBorder="1" applyAlignment="1">
      <alignment horizontal="center" vertical="center" wrapText="1"/>
    </xf>
    <xf numFmtId="0" fontId="0" fillId="0" borderId="30" xfId="0" applyFont="1" applyBorder="1" applyAlignment="1">
      <alignment horizontal="left" vertical="center" wrapText="1" indent="3"/>
    </xf>
    <xf numFmtId="0" fontId="7" fillId="0" borderId="0" xfId="0" applyFont="1" applyAlignment="1">
      <alignment horizontal="center" vertical="center" wrapText="1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vertical="center" wrapText="1"/>
    </xf>
    <xf numFmtId="0" fontId="0" fillId="0" borderId="14" xfId="0" applyFont="1" applyBorder="1" applyAlignment="1">
      <alignment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vertical="center" wrapText="1"/>
    </xf>
    <xf numFmtId="0" fontId="0" fillId="4" borderId="6" xfId="0" applyFill="1" applyBorder="1" applyAlignment="1">
      <alignment horizontal="center"/>
    </xf>
    <xf numFmtId="0" fontId="0" fillId="4" borderId="2" xfId="0" applyFill="1" applyBorder="1" applyAlignment="1">
      <alignment wrapText="1"/>
    </xf>
    <xf numFmtId="0" fontId="0" fillId="4" borderId="2" xfId="0" quotePrefix="1" applyFill="1" applyBorder="1" applyAlignment="1">
      <alignment horizontal="left"/>
    </xf>
    <xf numFmtId="1" fontId="0" fillId="4" borderId="2" xfId="0" applyNumberFormat="1" applyFill="1" applyBorder="1" applyAlignment="1">
      <alignment horizontal="center" wrapText="1"/>
    </xf>
    <xf numFmtId="164" fontId="0" fillId="4" borderId="2" xfId="2" applyNumberFormat="1" applyFont="1" applyFill="1" applyBorder="1" applyAlignment="1">
      <alignment wrapText="1"/>
    </xf>
    <xf numFmtId="164" fontId="0" fillId="4" borderId="2" xfId="2" applyNumberFormat="1" applyFont="1" applyFill="1" applyBorder="1" applyAlignment="1">
      <alignment horizontal="center"/>
    </xf>
    <xf numFmtId="164" fontId="0" fillId="4" borderId="2" xfId="0" applyNumberFormat="1" applyFill="1" applyBorder="1"/>
    <xf numFmtId="164" fontId="0" fillId="4" borderId="2" xfId="2" applyNumberFormat="1" applyFont="1" applyFill="1" applyBorder="1"/>
    <xf numFmtId="164" fontId="0" fillId="4" borderId="25" xfId="2" applyNumberFormat="1" applyFont="1" applyFill="1" applyBorder="1" applyAlignment="1">
      <alignment horizontal="center"/>
    </xf>
    <xf numFmtId="165" fontId="0" fillId="4" borderId="2" xfId="4" applyNumberFormat="1" applyFont="1" applyFill="1" applyBorder="1" applyAlignment="1">
      <alignment horizontal="center"/>
    </xf>
    <xf numFmtId="44" fontId="0" fillId="4" borderId="2" xfId="2" applyFont="1" applyFill="1" applyBorder="1" applyAlignment="1">
      <alignment horizontal="center"/>
    </xf>
    <xf numFmtId="2" fontId="0" fillId="4" borderId="7" xfId="0" applyNumberForma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30" xfId="0" applyFill="1" applyBorder="1" applyAlignment="1">
      <alignment wrapText="1"/>
    </xf>
    <xf numFmtId="0" fontId="0" fillId="4" borderId="30" xfId="0" applyFill="1" applyBorder="1" applyAlignment="1">
      <alignment horizontal="left" wrapText="1"/>
    </xf>
    <xf numFmtId="0" fontId="0" fillId="4" borderId="30" xfId="0" applyFill="1" applyBorder="1" applyAlignment="1">
      <alignment horizontal="center" wrapText="1"/>
    </xf>
    <xf numFmtId="44" fontId="0" fillId="4" borderId="30" xfId="0" applyNumberFormat="1" applyFill="1" applyBorder="1" applyAlignment="1">
      <alignment wrapText="1"/>
    </xf>
    <xf numFmtId="44" fontId="0" fillId="4" borderId="30" xfId="2" applyFont="1" applyFill="1" applyBorder="1" applyAlignment="1">
      <alignment horizontal="center" wrapText="1"/>
    </xf>
    <xf numFmtId="44" fontId="0" fillId="4" borderId="30" xfId="2" applyFont="1" applyFill="1" applyBorder="1" applyAlignment="1">
      <alignment horizontal="center"/>
    </xf>
    <xf numFmtId="44" fontId="0" fillId="4" borderId="30" xfId="0" applyNumberFormat="1" applyFill="1" applyBorder="1"/>
    <xf numFmtId="44" fontId="0" fillId="4" borderId="30" xfId="2" applyFont="1" applyFill="1" applyBorder="1"/>
    <xf numFmtId="164" fontId="0" fillId="4" borderId="30" xfId="2" applyNumberFormat="1" applyFont="1" applyFill="1" applyBorder="1"/>
    <xf numFmtId="164" fontId="0" fillId="4" borderId="20" xfId="2" applyNumberFormat="1" applyFont="1" applyFill="1" applyBorder="1"/>
    <xf numFmtId="165" fontId="0" fillId="4" borderId="30" xfId="4" applyNumberFormat="1" applyFont="1" applyFill="1" applyBorder="1" applyAlignment="1">
      <alignment horizontal="center"/>
    </xf>
    <xf numFmtId="164" fontId="0" fillId="4" borderId="30" xfId="0" applyNumberFormat="1" applyFill="1" applyBorder="1"/>
    <xf numFmtId="164" fontId="0" fillId="4" borderId="30" xfId="2" applyNumberFormat="1" applyFont="1" applyFill="1" applyBorder="1" applyAlignment="1">
      <alignment horizontal="center"/>
    </xf>
    <xf numFmtId="2" fontId="0" fillId="4" borderId="9" xfId="0" applyNumberFormat="1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/>
    </xf>
    <xf numFmtId="0" fontId="0" fillId="4" borderId="30" xfId="0" applyFont="1" applyFill="1" applyBorder="1" applyAlignment="1">
      <alignment wrapText="1"/>
    </xf>
    <xf numFmtId="0" fontId="31" fillId="4" borderId="30" xfId="0" applyFont="1" applyFill="1" applyBorder="1" applyAlignment="1">
      <alignment wrapText="1"/>
    </xf>
    <xf numFmtId="0" fontId="0" fillId="4" borderId="30" xfId="0" applyFont="1" applyFill="1" applyBorder="1" applyAlignment="1">
      <alignment horizontal="left"/>
    </xf>
    <xf numFmtId="44" fontId="6" fillId="4" borderId="30" xfId="2" applyFont="1" applyFill="1" applyBorder="1" applyAlignment="1">
      <alignment wrapText="1"/>
    </xf>
    <xf numFmtId="44" fontId="6" fillId="4" borderId="30" xfId="2" applyFont="1" applyFill="1" applyBorder="1" applyAlignment="1">
      <alignment horizontal="center"/>
    </xf>
    <xf numFmtId="44" fontId="0" fillId="4" borderId="30" xfId="0" applyNumberFormat="1" applyFont="1" applyFill="1" applyBorder="1"/>
    <xf numFmtId="0" fontId="0" fillId="4" borderId="30" xfId="0" applyFont="1" applyFill="1" applyBorder="1"/>
    <xf numFmtId="164" fontId="0" fillId="4" borderId="30" xfId="0" applyNumberFormat="1" applyFont="1" applyFill="1" applyBorder="1"/>
    <xf numFmtId="44" fontId="6" fillId="4" borderId="20" xfId="2" applyFont="1" applyFill="1" applyBorder="1"/>
    <xf numFmtId="165" fontId="0" fillId="4" borderId="0" xfId="4" applyNumberFormat="1" applyFont="1" applyFill="1" applyAlignment="1">
      <alignment horizontal="center"/>
    </xf>
    <xf numFmtId="2" fontId="0" fillId="4" borderId="30" xfId="0" applyNumberFormat="1" applyFont="1" applyFill="1" applyBorder="1" applyAlignment="1">
      <alignment horizontal="center"/>
    </xf>
    <xf numFmtId="164" fontId="6" fillId="4" borderId="30" xfId="2" applyNumberFormat="1" applyFont="1" applyFill="1" applyBorder="1"/>
    <xf numFmtId="2" fontId="0" fillId="4" borderId="46" xfId="0" applyNumberFormat="1" applyFont="1" applyFill="1" applyBorder="1" applyAlignment="1">
      <alignment horizontal="center"/>
    </xf>
    <xf numFmtId="0" fontId="0" fillId="4" borderId="30" xfId="0" applyFill="1" applyBorder="1" applyAlignment="1">
      <alignment horizontal="left"/>
    </xf>
    <xf numFmtId="44" fontId="0" fillId="4" borderId="30" xfId="2" applyFont="1" applyFill="1" applyBorder="1" applyAlignment="1">
      <alignment wrapText="1"/>
    </xf>
    <xf numFmtId="44" fontId="0" fillId="4" borderId="0" xfId="2" applyFont="1" applyFill="1"/>
    <xf numFmtId="44" fontId="0" fillId="4" borderId="26" xfId="2" applyFont="1" applyFill="1" applyBorder="1"/>
    <xf numFmtId="0" fontId="0" fillId="4" borderId="30" xfId="0" applyNumberFormat="1" applyFill="1" applyBorder="1" applyAlignment="1">
      <alignment horizontal="center"/>
    </xf>
    <xf numFmtId="164" fontId="0" fillId="4" borderId="30" xfId="2" applyNumberFormat="1" applyFont="1" applyFill="1" applyBorder="1" applyAlignment="1">
      <alignment wrapText="1"/>
    </xf>
    <xf numFmtId="1" fontId="0" fillId="4" borderId="30" xfId="0" applyNumberFormat="1" applyFill="1" applyBorder="1" applyAlignment="1">
      <alignment horizontal="center"/>
    </xf>
    <xf numFmtId="0" fontId="31" fillId="0" borderId="0" xfId="0" applyFont="1" applyFill="1"/>
    <xf numFmtId="0" fontId="19" fillId="0" borderId="30" xfId="0" applyNumberFormat="1" applyFont="1" applyFill="1" applyBorder="1" applyAlignment="1" applyProtection="1">
      <alignment horizontal="right"/>
    </xf>
    <xf numFmtId="0" fontId="0" fillId="4" borderId="2" xfId="0" applyFill="1" applyBorder="1" applyAlignment="1">
      <alignment horizontal="center" wrapText="1"/>
    </xf>
    <xf numFmtId="2" fontId="0" fillId="4" borderId="7" xfId="0" applyNumberFormat="1" applyFont="1" applyFill="1" applyBorder="1" applyAlignment="1">
      <alignment horizontal="center"/>
    </xf>
    <xf numFmtId="164" fontId="6" fillId="4" borderId="20" xfId="2" applyNumberFormat="1" applyFont="1" applyFill="1" applyBorder="1"/>
    <xf numFmtId="164" fontId="0" fillId="4" borderId="26" xfId="2" applyNumberFormat="1" applyFont="1" applyFill="1" applyBorder="1"/>
    <xf numFmtId="0" fontId="0" fillId="4" borderId="9" xfId="0" applyFon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5" fontId="0" fillId="0" borderId="57" xfId="0" applyNumberFormat="1" applyBorder="1" applyAlignment="1">
      <alignment horizontal="center"/>
    </xf>
    <xf numFmtId="165" fontId="0" fillId="0" borderId="0" xfId="4" applyNumberFormat="1" applyFont="1" applyBorder="1" applyAlignment="1">
      <alignment horizontal="center"/>
    </xf>
    <xf numFmtId="0" fontId="0" fillId="0" borderId="49" xfId="0" applyFill="1" applyBorder="1" applyAlignment="1">
      <alignment horizontal="right"/>
    </xf>
    <xf numFmtId="165" fontId="0" fillId="0" borderId="49" xfId="4" applyNumberFormat="1" applyFont="1" applyBorder="1" applyAlignment="1">
      <alignment horizontal="right"/>
    </xf>
    <xf numFmtId="0" fontId="0" fillId="4" borderId="30" xfId="0" applyFill="1" applyBorder="1" applyAlignment="1"/>
    <xf numFmtId="164" fontId="0" fillId="4" borderId="30" xfId="2" applyNumberFormat="1" applyFont="1" applyFill="1" applyBorder="1" applyAlignment="1"/>
    <xf numFmtId="164" fontId="0" fillId="4" borderId="30" xfId="0" applyNumberFormat="1" applyFill="1" applyBorder="1" applyAlignment="1"/>
    <xf numFmtId="164" fontId="0" fillId="4" borderId="26" xfId="2" applyNumberFormat="1" applyFont="1" applyFill="1" applyBorder="1" applyAlignment="1"/>
    <xf numFmtId="164" fontId="0" fillId="4" borderId="0" xfId="2" applyNumberFormat="1" applyFont="1" applyFill="1"/>
    <xf numFmtId="2" fontId="0" fillId="4" borderId="15" xfId="0" applyNumberFormat="1" applyFont="1" applyFill="1" applyBorder="1" applyAlignment="1">
      <alignment horizontal="center"/>
    </xf>
    <xf numFmtId="0" fontId="7" fillId="0" borderId="0" xfId="0" applyFont="1" applyFill="1" applyAlignment="1">
      <alignment wrapText="1"/>
    </xf>
    <xf numFmtId="43" fontId="7" fillId="0" borderId="0" xfId="0" applyNumberFormat="1" applyFont="1" applyFill="1" applyBorder="1" applyAlignment="1">
      <alignment horizontal="center"/>
    </xf>
    <xf numFmtId="165" fontId="0" fillId="0" borderId="1" xfId="4" applyNumberFormat="1" applyFont="1" applyFill="1" applyBorder="1" applyAlignment="1">
      <alignment horizontal="center"/>
    </xf>
    <xf numFmtId="3" fontId="0" fillId="0" borderId="51" xfId="0" applyNumberFormat="1" applyBorder="1" applyAlignment="1">
      <alignment horizontal="right"/>
    </xf>
    <xf numFmtId="0" fontId="0" fillId="0" borderId="51" xfId="0" applyBorder="1"/>
    <xf numFmtId="0" fontId="32" fillId="25" borderId="34" xfId="0" applyFont="1" applyFill="1" applyBorder="1" applyAlignment="1">
      <alignment horizontal="center" wrapText="1"/>
    </xf>
    <xf numFmtId="0" fontId="33" fillId="0" borderId="30" xfId="0" applyFont="1" applyBorder="1"/>
    <xf numFmtId="0" fontId="33" fillId="0" borderId="30" xfId="0" applyFont="1" applyBorder="1" applyAlignment="1">
      <alignment shrinkToFit="1"/>
    </xf>
    <xf numFmtId="0" fontId="33" fillId="0" borderId="30" xfId="0" applyFont="1" applyBorder="1" applyAlignment="1">
      <alignment horizontal="center" shrinkToFit="1"/>
    </xf>
    <xf numFmtId="0" fontId="33" fillId="0" borderId="30" xfId="0" applyFont="1" applyBorder="1" applyAlignment="1">
      <alignment horizontal="center"/>
    </xf>
    <xf numFmtId="1" fontId="33" fillId="0" borderId="30" xfId="0" applyNumberFormat="1" applyFont="1" applyBorder="1"/>
    <xf numFmtId="3" fontId="33" fillId="0" borderId="30" xfId="0" applyNumberFormat="1" applyFont="1" applyBorder="1"/>
    <xf numFmtId="0" fontId="33" fillId="26" borderId="30" xfId="0" applyFont="1" applyFill="1" applyBorder="1"/>
    <xf numFmtId="0" fontId="33" fillId="26" borderId="30" xfId="0" applyFont="1" applyFill="1" applyBorder="1" applyAlignment="1">
      <alignment shrinkToFit="1"/>
    </xf>
    <xf numFmtId="0" fontId="33" fillId="26" borderId="30" xfId="0" applyFont="1" applyFill="1" applyBorder="1" applyAlignment="1">
      <alignment horizontal="center" shrinkToFit="1"/>
    </xf>
    <xf numFmtId="0" fontId="33" fillId="26" borderId="30" xfId="0" applyFont="1" applyFill="1" applyBorder="1" applyAlignment="1">
      <alignment horizontal="center"/>
    </xf>
    <xf numFmtId="1" fontId="33" fillId="26" borderId="30" xfId="0" applyNumberFormat="1" applyFont="1" applyFill="1" applyBorder="1"/>
    <xf numFmtId="3" fontId="33" fillId="26" borderId="30" xfId="0" applyNumberFormat="1" applyFont="1" applyFill="1" applyBorder="1"/>
    <xf numFmtId="0" fontId="33" fillId="26" borderId="14" xfId="0" applyFont="1" applyFill="1" applyBorder="1"/>
    <xf numFmtId="0" fontId="33" fillId="26" borderId="14" xfId="0" applyFont="1" applyFill="1" applyBorder="1" applyAlignment="1">
      <alignment horizontal="center" shrinkToFit="1"/>
    </xf>
    <xf numFmtId="0" fontId="33" fillId="26" borderId="14" xfId="0" applyFont="1" applyFill="1" applyBorder="1" applyAlignment="1">
      <alignment shrinkToFit="1"/>
    </xf>
    <xf numFmtId="0" fontId="33" fillId="26" borderId="14" xfId="0" applyFont="1" applyFill="1" applyBorder="1" applyAlignment="1">
      <alignment horizontal="center"/>
    </xf>
    <xf numFmtId="1" fontId="33" fillId="26" borderId="14" xfId="0" applyNumberFormat="1" applyFont="1" applyFill="1" applyBorder="1"/>
    <xf numFmtId="3" fontId="33" fillId="26" borderId="14" xfId="0" applyNumberFormat="1" applyFont="1" applyFill="1" applyBorder="1"/>
    <xf numFmtId="0" fontId="0" fillId="0" borderId="51" xfId="0" applyFill="1" applyBorder="1" applyAlignment="1">
      <alignment horizontal="right"/>
    </xf>
    <xf numFmtId="165" fontId="31" fillId="0" borderId="0" xfId="4" applyNumberFormat="1" applyFont="1" applyFill="1" applyBorder="1" applyAlignment="1">
      <alignment wrapText="1"/>
    </xf>
    <xf numFmtId="0" fontId="31" fillId="0" borderId="0" xfId="0" applyFont="1"/>
    <xf numFmtId="0" fontId="33" fillId="9" borderId="34" xfId="0" applyFont="1" applyFill="1" applyBorder="1"/>
    <xf numFmtId="0" fontId="32" fillId="25" borderId="34" xfId="0" applyFont="1" applyFill="1" applyBorder="1" applyAlignment="1">
      <alignment horizontal="center" wrapText="1"/>
    </xf>
    <xf numFmtId="0" fontId="33" fillId="0" borderId="30" xfId="0" applyFont="1" applyBorder="1"/>
    <xf numFmtId="0" fontId="33" fillId="0" borderId="30" xfId="0" applyFont="1" applyBorder="1" applyAlignment="1">
      <alignment shrinkToFit="1"/>
    </xf>
    <xf numFmtId="0" fontId="33" fillId="0" borderId="30" xfId="0" applyFont="1" applyBorder="1" applyAlignment="1">
      <alignment horizontal="center" shrinkToFit="1"/>
    </xf>
    <xf numFmtId="0" fontId="33" fillId="0" borderId="30" xfId="0" applyFont="1" applyBorder="1" applyAlignment="1">
      <alignment horizontal="center"/>
    </xf>
    <xf numFmtId="1" fontId="33" fillId="0" borderId="30" xfId="0" applyNumberFormat="1" applyFont="1" applyBorder="1"/>
    <xf numFmtId="3" fontId="33" fillId="0" borderId="30" xfId="0" applyNumberFormat="1" applyFont="1" applyBorder="1"/>
    <xf numFmtId="0" fontId="33" fillId="26" borderId="30" xfId="0" applyFont="1" applyFill="1" applyBorder="1"/>
    <xf numFmtId="0" fontId="33" fillId="26" borderId="30" xfId="0" applyFont="1" applyFill="1" applyBorder="1" applyAlignment="1">
      <alignment shrinkToFit="1"/>
    </xf>
    <xf numFmtId="0" fontId="33" fillId="26" borderId="30" xfId="0" applyFont="1" applyFill="1" applyBorder="1" applyAlignment="1">
      <alignment horizontal="center" shrinkToFit="1"/>
    </xf>
    <xf numFmtId="0" fontId="33" fillId="26" borderId="30" xfId="0" applyFont="1" applyFill="1" applyBorder="1" applyAlignment="1">
      <alignment horizontal="center"/>
    </xf>
    <xf numFmtId="1" fontId="33" fillId="26" borderId="30" xfId="0" applyNumberFormat="1" applyFont="1" applyFill="1" applyBorder="1"/>
    <xf numFmtId="3" fontId="33" fillId="26" borderId="30" xfId="0" applyNumberFormat="1" applyFont="1" applyFill="1" applyBorder="1"/>
    <xf numFmtId="0" fontId="33" fillId="9" borderId="14" xfId="0" applyFont="1" applyFill="1" applyBorder="1"/>
    <xf numFmtId="0" fontId="33" fillId="9" borderId="30" xfId="0" applyFont="1" applyFill="1" applyBorder="1"/>
    <xf numFmtId="0" fontId="32" fillId="9" borderId="34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Border="1"/>
    <xf numFmtId="0" fontId="0" fillId="0" borderId="0" xfId="0" applyFill="1"/>
    <xf numFmtId="0" fontId="0" fillId="0" borderId="30" xfId="0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Alignment="1">
      <alignment horizontal="center"/>
    </xf>
    <xf numFmtId="44" fontId="0" fillId="0" borderId="0" xfId="2" applyFont="1"/>
    <xf numFmtId="44" fontId="0" fillId="0" borderId="30" xfId="2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44" fontId="0" fillId="0" borderId="30" xfId="0" applyNumberFormat="1" applyFill="1" applyBorder="1"/>
    <xf numFmtId="164" fontId="0" fillId="0" borderId="30" xfId="0" applyNumberFormat="1" applyFill="1" applyBorder="1"/>
    <xf numFmtId="44" fontId="0" fillId="0" borderId="30" xfId="2" applyFont="1" applyFill="1" applyBorder="1"/>
    <xf numFmtId="44" fontId="0" fillId="0" borderId="2" xfId="2" applyFont="1" applyFill="1" applyBorder="1" applyAlignment="1">
      <alignment horizontal="center"/>
    </xf>
    <xf numFmtId="44" fontId="0" fillId="0" borderId="2" xfId="2" applyFont="1" applyFill="1" applyBorder="1"/>
    <xf numFmtId="164" fontId="0" fillId="0" borderId="2" xfId="0" applyNumberFormat="1" applyFill="1" applyBorder="1"/>
    <xf numFmtId="164" fontId="0" fillId="0" borderId="30" xfId="2" applyNumberFormat="1" applyFont="1" applyFill="1" applyBorder="1"/>
    <xf numFmtId="164" fontId="0" fillId="0" borderId="26" xfId="2" applyNumberFormat="1" applyFont="1" applyFill="1" applyBorder="1" applyAlignment="1">
      <alignment horizontal="center"/>
    </xf>
    <xf numFmtId="164" fontId="0" fillId="0" borderId="2" xfId="2" applyNumberFormat="1" applyFont="1" applyFill="1" applyBorder="1"/>
    <xf numFmtId="0" fontId="0" fillId="0" borderId="0" xfId="0" applyAlignment="1">
      <alignment horizontal="right"/>
    </xf>
    <xf numFmtId="44" fontId="0" fillId="0" borderId="30" xfId="2" applyFont="1" applyFill="1" applyBorder="1" applyAlignment="1">
      <alignment horizontal="center" wrapText="1"/>
    </xf>
    <xf numFmtId="164" fontId="0" fillId="0" borderId="30" xfId="2" applyNumberFormat="1" applyFont="1" applyFill="1" applyBorder="1" applyAlignment="1">
      <alignment horizontal="center"/>
    </xf>
    <xf numFmtId="2" fontId="0" fillId="0" borderId="9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32" fillId="25" borderId="34" xfId="0" applyFont="1" applyFill="1" applyBorder="1" applyAlignment="1">
      <alignment horizontal="center" wrapText="1"/>
    </xf>
    <xf numFmtId="0" fontId="33" fillId="0" borderId="30" xfId="0" applyFont="1" applyBorder="1"/>
    <xf numFmtId="0" fontId="33" fillId="0" borderId="30" xfId="0" applyFont="1" applyBorder="1" applyAlignment="1">
      <alignment shrinkToFit="1"/>
    </xf>
    <xf numFmtId="0" fontId="33" fillId="0" borderId="30" xfId="0" applyFont="1" applyBorder="1" applyAlignment="1">
      <alignment horizontal="center" shrinkToFit="1"/>
    </xf>
    <xf numFmtId="0" fontId="33" fillId="0" borderId="30" xfId="0" applyFont="1" applyBorder="1" applyAlignment="1">
      <alignment horizontal="center"/>
    </xf>
    <xf numFmtId="3" fontId="33" fillId="0" borderId="30" xfId="0" applyNumberFormat="1" applyFont="1" applyBorder="1"/>
    <xf numFmtId="0" fontId="33" fillId="26" borderId="30" xfId="0" applyFont="1" applyFill="1" applyBorder="1"/>
    <xf numFmtId="0" fontId="33" fillId="26" borderId="30" xfId="0" applyFont="1" applyFill="1" applyBorder="1" applyAlignment="1">
      <alignment shrinkToFit="1"/>
    </xf>
    <xf numFmtId="0" fontId="33" fillId="26" borderId="30" xfId="0" applyFont="1" applyFill="1" applyBorder="1" applyAlignment="1">
      <alignment horizontal="center" shrinkToFit="1"/>
    </xf>
    <xf numFmtId="0" fontId="33" fillId="26" borderId="30" xfId="0" applyFont="1" applyFill="1" applyBorder="1" applyAlignment="1">
      <alignment horizontal="center"/>
    </xf>
    <xf numFmtId="1" fontId="33" fillId="26" borderId="30" xfId="0" applyNumberFormat="1" applyFont="1" applyFill="1" applyBorder="1"/>
    <xf numFmtId="3" fontId="33" fillId="26" borderId="30" xfId="0" applyNumberFormat="1" applyFont="1" applyFill="1" applyBorder="1"/>
    <xf numFmtId="1" fontId="33" fillId="0" borderId="30" xfId="46" applyNumberFormat="1" applyFont="1" applyBorder="1"/>
    <xf numFmtId="3" fontId="33" fillId="0" borderId="30" xfId="46" applyNumberFormat="1" applyFont="1" applyBorder="1"/>
    <xf numFmtId="1" fontId="33" fillId="26" borderId="30" xfId="46" applyNumberFormat="1" applyFont="1" applyFill="1" applyBorder="1"/>
    <xf numFmtId="3" fontId="33" fillId="26" borderId="30" xfId="46" applyNumberFormat="1" applyFont="1" applyFill="1" applyBorder="1"/>
    <xf numFmtId="0" fontId="33" fillId="0" borderId="30" xfId="46" applyFont="1" applyBorder="1"/>
    <xf numFmtId="0" fontId="33" fillId="0" borderId="30" xfId="46" applyFont="1" applyBorder="1" applyAlignment="1">
      <alignment horizontal="center" shrinkToFit="1"/>
    </xf>
    <xf numFmtId="0" fontId="33" fillId="26" borderId="30" xfId="46" applyFont="1" applyFill="1" applyBorder="1"/>
    <xf numFmtId="0" fontId="33" fillId="26" borderId="30" xfId="46" applyFont="1" applyFill="1" applyBorder="1" applyAlignment="1">
      <alignment horizontal="center" shrinkToFit="1"/>
    </xf>
    <xf numFmtId="1" fontId="33" fillId="26" borderId="14" xfId="0" applyNumberFormat="1" applyFont="1" applyFill="1" applyBorder="1"/>
    <xf numFmtId="0" fontId="0" fillId="0" borderId="25" xfId="0" applyBorder="1"/>
    <xf numFmtId="0" fontId="0" fillId="0" borderId="52" xfId="0" applyBorder="1" applyAlignment="1">
      <alignment horizontal="center"/>
    </xf>
    <xf numFmtId="0" fontId="0" fillId="0" borderId="53" xfId="0" applyBorder="1"/>
    <xf numFmtId="0" fontId="0" fillId="0" borderId="45" xfId="0" applyBorder="1" applyAlignment="1">
      <alignment horizontal="center"/>
    </xf>
    <xf numFmtId="3" fontId="0" fillId="0" borderId="0" xfId="0" applyNumberFormat="1" applyBorder="1" applyAlignment="1">
      <alignment horizontal="right"/>
    </xf>
    <xf numFmtId="0" fontId="0" fillId="0" borderId="20" xfId="0" applyBorder="1"/>
    <xf numFmtId="0" fontId="0" fillId="0" borderId="49" xfId="0" applyBorder="1"/>
    <xf numFmtId="0" fontId="0" fillId="0" borderId="54" xfId="0" applyBorder="1" applyAlignment="1">
      <alignment horizontal="center"/>
    </xf>
    <xf numFmtId="0" fontId="33" fillId="9" borderId="14" xfId="0" applyFont="1" applyFill="1" applyBorder="1"/>
    <xf numFmtId="0" fontId="33" fillId="9" borderId="30" xfId="0" applyFont="1" applyFill="1" applyBorder="1"/>
    <xf numFmtId="0" fontId="32" fillId="9" borderId="34" xfId="0" applyFont="1" applyFill="1" applyBorder="1" applyAlignment="1">
      <alignment horizontal="center" wrapText="1"/>
    </xf>
    <xf numFmtId="0" fontId="0" fillId="0" borderId="0" xfId="0"/>
    <xf numFmtId="1" fontId="0" fillId="0" borderId="1" xfId="0" applyNumberFormat="1" applyFill="1" applyBorder="1" applyAlignment="1">
      <alignment horizontal="center" wrapText="1"/>
    </xf>
    <xf numFmtId="164" fontId="0" fillId="0" borderId="1" xfId="2" applyNumberFormat="1" applyFont="1" applyFill="1" applyBorder="1" applyAlignment="1">
      <alignment wrapText="1"/>
    </xf>
    <xf numFmtId="164" fontId="0" fillId="0" borderId="1" xfId="2" applyNumberFormat="1" applyFont="1" applyFill="1" applyBorder="1" applyAlignment="1">
      <alignment horizontal="center"/>
    </xf>
    <xf numFmtId="0" fontId="0" fillId="0" borderId="1" xfId="0" applyFill="1" applyBorder="1"/>
    <xf numFmtId="164" fontId="0" fillId="0" borderId="20" xfId="2" applyNumberFormat="1" applyFont="1" applyFill="1" applyBorder="1"/>
    <xf numFmtId="164" fontId="0" fillId="0" borderId="30" xfId="2" applyNumberFormat="1" applyFont="1" applyFill="1" applyBorder="1" applyAlignment="1">
      <alignment wrapText="1"/>
    </xf>
    <xf numFmtId="164" fontId="6" fillId="0" borderId="20" xfId="2" applyNumberFormat="1" applyFont="1" applyFill="1" applyBorder="1"/>
    <xf numFmtId="164" fontId="31" fillId="0" borderId="1" xfId="2" applyNumberFormat="1" applyFont="1" applyFill="1" applyBorder="1"/>
    <xf numFmtId="164" fontId="6" fillId="0" borderId="1" xfId="2" applyNumberFormat="1" applyFont="1" applyFill="1" applyBorder="1"/>
    <xf numFmtId="44" fontId="0" fillId="0" borderId="26" xfId="2" applyFont="1" applyFill="1" applyBorder="1"/>
    <xf numFmtId="44" fontId="0" fillId="0" borderId="1" xfId="2" applyFont="1" applyFill="1" applyBorder="1" applyAlignment="1"/>
    <xf numFmtId="164" fontId="0" fillId="0" borderId="1" xfId="2" applyNumberFormat="1" applyFont="1" applyFill="1" applyBorder="1" applyAlignment="1"/>
    <xf numFmtId="44" fontId="0" fillId="0" borderId="1" xfId="0" applyNumberFormat="1" applyFill="1" applyBorder="1" applyAlignment="1"/>
    <xf numFmtId="164" fontId="0" fillId="0" borderId="1" xfId="0" applyNumberFormat="1" applyFill="1" applyBorder="1" applyAlignment="1"/>
    <xf numFmtId="164" fontId="0" fillId="0" borderId="26" xfId="2" applyNumberFormat="1" applyFont="1" applyFill="1" applyBorder="1" applyAlignment="1"/>
    <xf numFmtId="1" fontId="0" fillId="0" borderId="2" xfId="0" applyNumberFormat="1" applyFill="1" applyBorder="1" applyAlignment="1">
      <alignment horizontal="center" wrapText="1"/>
    </xf>
    <xf numFmtId="164" fontId="0" fillId="0" borderId="2" xfId="2" applyNumberFormat="1" applyFont="1" applyFill="1" applyBorder="1" applyAlignment="1">
      <alignment wrapText="1"/>
    </xf>
    <xf numFmtId="164" fontId="0" fillId="0" borderId="2" xfId="2" applyNumberFormat="1" applyFont="1" applyFill="1" applyBorder="1" applyAlignment="1">
      <alignment horizontal="center"/>
    </xf>
    <xf numFmtId="164" fontId="0" fillId="0" borderId="25" xfId="2" applyNumberFormat="1" applyFont="1" applyFill="1" applyBorder="1" applyAlignment="1">
      <alignment horizontal="center"/>
    </xf>
    <xf numFmtId="164" fontId="27" fillId="0" borderId="30" xfId="2" applyNumberFormat="1" applyFont="1" applyFill="1" applyBorder="1"/>
    <xf numFmtId="1" fontId="0" fillId="0" borderId="30" xfId="0" applyNumberFormat="1" applyFill="1" applyBorder="1" applyAlignment="1">
      <alignment horizontal="center" wrapText="1"/>
    </xf>
    <xf numFmtId="0" fontId="0" fillId="0" borderId="2" xfId="0" applyFill="1" applyBorder="1" applyAlignment="1">
      <alignment horizontal="center" wrapText="1"/>
    </xf>
    <xf numFmtId="164" fontId="6" fillId="0" borderId="26" xfId="2" applyNumberFormat="1" applyFont="1" applyFill="1" applyBorder="1"/>
    <xf numFmtId="164" fontId="0" fillId="0" borderId="26" xfId="2" applyNumberFormat="1" applyFont="1" applyFill="1" applyBorder="1"/>
    <xf numFmtId="44" fontId="6" fillId="0" borderId="26" xfId="2" applyFont="1" applyFill="1" applyBorder="1"/>
    <xf numFmtId="44" fontId="6" fillId="0" borderId="20" xfId="2" applyFont="1" applyFill="1" applyBorder="1"/>
    <xf numFmtId="0" fontId="0" fillId="0" borderId="1" xfId="0" applyFont="1" applyFill="1" applyBorder="1"/>
    <xf numFmtId="44" fontId="6" fillId="0" borderId="1" xfId="2" applyFont="1" applyFill="1" applyBorder="1"/>
    <xf numFmtId="165" fontId="0" fillId="0" borderId="30" xfId="4" applyNumberFormat="1" applyFont="1" applyFill="1" applyBorder="1" applyAlignment="1">
      <alignment horizontal="center"/>
    </xf>
    <xf numFmtId="37" fontId="0" fillId="0" borderId="1" xfId="2" applyNumberFormat="1" applyFon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44" fontId="0" fillId="0" borderId="25" xfId="2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0" borderId="14" xfId="2" applyNumberFormat="1" applyFont="1" applyFill="1" applyBorder="1"/>
    <xf numFmtId="164" fontId="0" fillId="0" borderId="14" xfId="0" applyNumberFormat="1" applyFill="1" applyBorder="1"/>
    <xf numFmtId="0" fontId="0" fillId="0" borderId="30" xfId="0" applyFill="1" applyBorder="1" applyAlignment="1">
      <alignment horizontal="center"/>
    </xf>
    <xf numFmtId="0" fontId="7" fillId="27" borderId="32" xfId="0" applyFont="1" applyFill="1" applyBorder="1" applyAlignment="1">
      <alignment horizontal="center" wrapText="1"/>
    </xf>
    <xf numFmtId="164" fontId="31" fillId="0" borderId="1" xfId="2" applyNumberFormat="1" applyFont="1" applyFill="1" applyBorder="1" applyAlignment="1"/>
    <xf numFmtId="2" fontId="0" fillId="0" borderId="0" xfId="0" applyNumberFormat="1" applyFill="1" applyBorder="1" applyAlignment="1">
      <alignment horizontal="center"/>
    </xf>
    <xf numFmtId="165" fontId="0" fillId="0" borderId="30" xfId="4" applyNumberFormat="1" applyFont="1" applyFill="1" applyBorder="1" applyAlignment="1">
      <alignment wrapText="1"/>
    </xf>
    <xf numFmtId="165" fontId="0" fillId="0" borderId="0" xfId="4" applyNumberFormat="1" applyFont="1"/>
    <xf numFmtId="166" fontId="0" fillId="0" borderId="0" xfId="1" applyNumberFormat="1" applyFont="1" applyAlignment="1"/>
    <xf numFmtId="167" fontId="0" fillId="0" borderId="0" xfId="1" applyNumberFormat="1" applyFont="1"/>
    <xf numFmtId="164" fontId="6" fillId="0" borderId="1" xfId="2" applyNumberFormat="1" applyFont="1" applyFill="1" applyBorder="1" applyAlignment="1">
      <alignment horizontal="center"/>
    </xf>
    <xf numFmtId="164" fontId="6" fillId="0" borderId="1" xfId="2" applyNumberFormat="1" applyFont="1" applyFill="1" applyBorder="1" applyAlignment="1">
      <alignment wrapText="1"/>
    </xf>
    <xf numFmtId="164" fontId="0" fillId="0" borderId="30" xfId="0" applyNumberFormat="1" applyFill="1" applyBorder="1" applyAlignment="1">
      <alignment wrapText="1"/>
    </xf>
    <xf numFmtId="164" fontId="0" fillId="4" borderId="0" xfId="0" applyNumberFormat="1" applyFill="1" applyBorder="1"/>
    <xf numFmtId="164" fontId="0" fillId="4" borderId="30" xfId="4" applyNumberFormat="1" applyFont="1" applyFill="1" applyBorder="1" applyAlignment="1">
      <alignment horizontal="center"/>
    </xf>
    <xf numFmtId="164" fontId="0" fillId="4" borderId="30" xfId="0" applyNumberFormat="1" applyFill="1" applyBorder="1" applyAlignment="1">
      <alignment horizontal="center"/>
    </xf>
    <xf numFmtId="164" fontId="0" fillId="0" borderId="1" xfId="2" applyNumberFormat="1" applyFont="1" applyFill="1" applyBorder="1" applyAlignment="1">
      <alignment horizontal="center" wrapText="1"/>
    </xf>
    <xf numFmtId="164" fontId="0" fillId="4" borderId="30" xfId="2" applyNumberFormat="1" applyFont="1" applyFill="1" applyBorder="1" applyAlignment="1">
      <alignment horizontal="center" wrapText="1"/>
    </xf>
    <xf numFmtId="164" fontId="0" fillId="0" borderId="1" xfId="0" applyNumberFormat="1" applyFont="1" applyFill="1" applyBorder="1" applyAlignment="1">
      <alignment horizontal="center"/>
    </xf>
    <xf numFmtId="164" fontId="6" fillId="4" borderId="30" xfId="2" applyNumberFormat="1" applyFont="1" applyFill="1" applyBorder="1" applyAlignment="1">
      <alignment wrapText="1"/>
    </xf>
    <xf numFmtId="164" fontId="6" fillId="4" borderId="30" xfId="2" applyNumberFormat="1" applyFont="1" applyFill="1" applyBorder="1" applyAlignment="1">
      <alignment horizontal="center"/>
    </xf>
    <xf numFmtId="164" fontId="0" fillId="4" borderId="30" xfId="0" applyNumberFormat="1" applyFont="1" applyFill="1" applyBorder="1" applyAlignment="1">
      <alignment horizontal="center"/>
    </xf>
    <xf numFmtId="164" fontId="0" fillId="0" borderId="30" xfId="2" applyNumberFormat="1" applyFont="1" applyFill="1" applyBorder="1" applyAlignment="1">
      <alignment horizontal="center" wrapText="1"/>
    </xf>
    <xf numFmtId="164" fontId="0" fillId="0" borderId="30" xfId="0" applyNumberFormat="1" applyFill="1" applyBorder="1" applyAlignment="1">
      <alignment horizontal="center"/>
    </xf>
    <xf numFmtId="164" fontId="0" fillId="0" borderId="2" xfId="0" applyNumberFormat="1" applyFill="1" applyBorder="1" applyAlignment="1">
      <alignment wrapText="1"/>
    </xf>
    <xf numFmtId="164" fontId="0" fillId="4" borderId="2" xfId="0" applyNumberFormat="1" applyFill="1" applyBorder="1" applyAlignment="1">
      <alignment wrapText="1"/>
    </xf>
    <xf numFmtId="164" fontId="0" fillId="4" borderId="2" xfId="0" applyNumberFormat="1" applyFill="1" applyBorder="1" applyAlignment="1">
      <alignment horizontal="center"/>
    </xf>
    <xf numFmtId="164" fontId="0" fillId="4" borderId="11" xfId="0" applyNumberFormat="1" applyFill="1" applyBorder="1" applyAlignment="1">
      <alignment wrapText="1"/>
    </xf>
    <xf numFmtId="164" fontId="0" fillId="4" borderId="0" xfId="0" applyNumberFormat="1" applyFill="1" applyBorder="1" applyAlignment="1"/>
    <xf numFmtId="164" fontId="27" fillId="0" borderId="1" xfId="2" applyNumberFormat="1" applyFont="1" applyFill="1" applyBorder="1" applyAlignment="1">
      <alignment horizontal="center"/>
    </xf>
    <xf numFmtId="164" fontId="10" fillId="4" borderId="11" xfId="0" applyNumberFormat="1" applyFont="1" applyFill="1" applyBorder="1" applyAlignment="1">
      <alignment wrapText="1"/>
    </xf>
    <xf numFmtId="164" fontId="27" fillId="0" borderId="1" xfId="2" applyNumberFormat="1" applyFont="1" applyFill="1" applyBorder="1"/>
    <xf numFmtId="165" fontId="27" fillId="0" borderId="1" xfId="4" applyNumberFormat="1" applyFont="1" applyFill="1" applyBorder="1" applyAlignment="1">
      <alignment horizontal="center"/>
    </xf>
    <xf numFmtId="1" fontId="27" fillId="0" borderId="1" xfId="0" applyNumberFormat="1" applyFont="1" applyFill="1" applyBorder="1" applyAlignment="1"/>
    <xf numFmtId="164" fontId="27" fillId="0" borderId="1" xfId="2" applyNumberFormat="1" applyFont="1" applyFill="1" applyBorder="1" applyAlignment="1"/>
    <xf numFmtId="0" fontId="27" fillId="0" borderId="1" xfId="0" applyNumberFormat="1" applyFont="1" applyFill="1" applyBorder="1" applyAlignment="1">
      <alignment horizontal="center"/>
    </xf>
    <xf numFmtId="1" fontId="27" fillId="0" borderId="1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left" wrapText="1"/>
    </xf>
    <xf numFmtId="2" fontId="0" fillId="0" borderId="7" xfId="0" applyNumberFormat="1" applyFill="1" applyBorder="1" applyAlignment="1">
      <alignment horizontal="center"/>
    </xf>
    <xf numFmtId="0" fontId="7" fillId="3" borderId="30" xfId="0" applyFont="1" applyFill="1" applyBorder="1" applyAlignment="1">
      <alignment horizontal="center" vertical="center" wrapText="1"/>
    </xf>
    <xf numFmtId="0" fontId="7" fillId="6" borderId="30" xfId="0" applyFont="1" applyFill="1" applyBorder="1" applyAlignment="1">
      <alignment horizontal="center" vertical="center" wrapText="1"/>
    </xf>
    <xf numFmtId="9" fontId="0" fillId="4" borderId="30" xfId="0" applyNumberFormat="1" applyFill="1" applyBorder="1" applyAlignment="1">
      <alignment horizontal="center" wrapText="1"/>
    </xf>
    <xf numFmtId="9" fontId="0" fillId="4" borderId="30" xfId="2" applyNumberFormat="1" applyFont="1" applyFill="1" applyBorder="1" applyAlignment="1">
      <alignment horizontal="center" wrapText="1"/>
    </xf>
    <xf numFmtId="0" fontId="0" fillId="0" borderId="30" xfId="0" applyBorder="1" applyAlignment="1">
      <alignment wrapText="1"/>
    </xf>
    <xf numFmtId="164" fontId="0" fillId="0" borderId="30" xfId="2" applyNumberFormat="1" applyFont="1" applyFill="1" applyBorder="1" applyAlignment="1"/>
    <xf numFmtId="164" fontId="0" fillId="0" borderId="30" xfId="0" applyNumberFormat="1" applyFill="1" applyBorder="1" applyAlignment="1"/>
    <xf numFmtId="164" fontId="31" fillId="0" borderId="30" xfId="2" applyNumberFormat="1" applyFont="1" applyFill="1" applyBorder="1" applyAlignment="1"/>
    <xf numFmtId="164" fontId="0" fillId="4" borderId="0" xfId="2" applyNumberFormat="1" applyFont="1" applyFill="1" applyBorder="1"/>
    <xf numFmtId="0" fontId="0" fillId="0" borderId="30" xfId="0" applyFont="1" applyFill="1" applyBorder="1" applyAlignment="1">
      <alignment wrapText="1"/>
    </xf>
    <xf numFmtId="0" fontId="0" fillId="0" borderId="30" xfId="0" applyFont="1" applyFill="1" applyBorder="1" applyAlignment="1">
      <alignment horizontal="left"/>
    </xf>
    <xf numFmtId="0" fontId="0" fillId="0" borderId="30" xfId="0" applyFont="1" applyFill="1" applyBorder="1" applyAlignment="1">
      <alignment horizontal="center" wrapText="1"/>
    </xf>
    <xf numFmtId="164" fontId="6" fillId="0" borderId="30" xfId="2" applyNumberFormat="1" applyFont="1" applyFill="1" applyBorder="1" applyAlignment="1">
      <alignment wrapText="1"/>
    </xf>
    <xf numFmtId="164" fontId="0" fillId="0" borderId="30" xfId="0" applyNumberFormat="1" applyFont="1" applyFill="1" applyBorder="1"/>
    <xf numFmtId="164" fontId="0" fillId="0" borderId="30" xfId="0" applyNumberFormat="1" applyFont="1" applyFill="1" applyBorder="1" applyAlignment="1">
      <alignment horizontal="center"/>
    </xf>
    <xf numFmtId="164" fontId="6" fillId="0" borderId="30" xfId="2" applyNumberFormat="1" applyFont="1" applyFill="1" applyBorder="1"/>
    <xf numFmtId="164" fontId="6" fillId="0" borderId="30" xfId="2" applyNumberFormat="1" applyFont="1" applyFill="1" applyBorder="1" applyAlignment="1">
      <alignment horizontal="center"/>
    </xf>
    <xf numFmtId="164" fontId="0" fillId="0" borderId="0" xfId="0" applyNumberFormat="1" applyFill="1" applyBorder="1"/>
    <xf numFmtId="164" fontId="0" fillId="0" borderId="2" xfId="2" applyNumberFormat="1" applyFont="1" applyFill="1" applyBorder="1" applyAlignment="1">
      <alignment horizontal="center"/>
    </xf>
    <xf numFmtId="44" fontId="0" fillId="0" borderId="1" xfId="2" applyNumberFormat="1" applyFont="1" applyFill="1" applyBorder="1"/>
    <xf numFmtId="44" fontId="0" fillId="0" borderId="30" xfId="0" applyNumberFormat="1" applyFont="1" applyFill="1" applyBorder="1"/>
    <xf numFmtId="44" fontId="0" fillId="0" borderId="2" xfId="2" applyNumberFormat="1" applyFont="1" applyFill="1" applyBorder="1"/>
    <xf numFmtId="165" fontId="0" fillId="0" borderId="2" xfId="4" applyNumberFormat="1" applyFont="1" applyFill="1" applyBorder="1" applyAlignment="1">
      <alignment horizontal="center"/>
    </xf>
    <xf numFmtId="37" fontId="0" fillId="0" borderId="2" xfId="2" applyNumberFormat="1" applyFont="1" applyFill="1" applyBorder="1" applyAlignment="1">
      <alignment horizontal="center"/>
    </xf>
    <xf numFmtId="0" fontId="7" fillId="3" borderId="31" xfId="0" applyFont="1" applyFill="1" applyBorder="1" applyAlignment="1">
      <alignment horizontal="center"/>
    </xf>
    <xf numFmtId="0" fontId="7" fillId="3" borderId="32" xfId="0" applyFont="1" applyFill="1" applyBorder="1"/>
    <xf numFmtId="0" fontId="7" fillId="3" borderId="33" xfId="0" applyFont="1" applyFill="1" applyBorder="1"/>
    <xf numFmtId="0" fontId="0" fillId="0" borderId="0" xfId="0" applyFont="1" applyFill="1" applyBorder="1"/>
    <xf numFmtId="0" fontId="0" fillId="28" borderId="36" xfId="0" applyFill="1" applyBorder="1" applyAlignment="1">
      <alignment horizontal="center"/>
    </xf>
    <xf numFmtId="0" fontId="0" fillId="28" borderId="37" xfId="0" applyFill="1" applyBorder="1" applyAlignment="1">
      <alignment horizontal="center"/>
    </xf>
    <xf numFmtId="1" fontId="19" fillId="0" borderId="0" xfId="0" applyNumberFormat="1" applyFont="1" applyFill="1" applyBorder="1" applyAlignment="1" applyProtection="1"/>
    <xf numFmtId="0" fontId="0" fillId="0" borderId="2" xfId="0" applyNumberFormat="1" applyFill="1" applyBorder="1"/>
    <xf numFmtId="0" fontId="8" fillId="0" borderId="0" xfId="46" applyFont="1"/>
    <xf numFmtId="0" fontId="6" fillId="0" borderId="0" xfId="46"/>
    <xf numFmtId="0" fontId="38" fillId="0" borderId="0" xfId="46" applyFont="1"/>
    <xf numFmtId="0" fontId="6" fillId="0" borderId="0" xfId="46" applyBorder="1"/>
    <xf numFmtId="164" fontId="0" fillId="0" borderId="0" xfId="38" applyNumberFormat="1" applyFont="1" applyBorder="1"/>
    <xf numFmtId="0" fontId="35" fillId="0" borderId="0" xfId="46" applyFont="1" applyBorder="1"/>
    <xf numFmtId="0" fontId="7" fillId="0" borderId="30" xfId="46" applyFont="1" applyBorder="1" applyAlignment="1">
      <alignment horizontal="center" vertical="center"/>
    </xf>
    <xf numFmtId="0" fontId="7" fillId="0" borderId="30" xfId="46" applyFont="1" applyBorder="1" applyAlignment="1">
      <alignment horizontal="center" vertical="center" wrapText="1"/>
    </xf>
    <xf numFmtId="0" fontId="6" fillId="0" borderId="0" xfId="46" applyFill="1" applyBorder="1" applyAlignment="1">
      <alignment horizontal="center"/>
    </xf>
    <xf numFmtId="0" fontId="10" fillId="0" borderId="0" xfId="46" applyFont="1" applyBorder="1"/>
    <xf numFmtId="164" fontId="7" fillId="0" borderId="51" xfId="46" applyNumberFormat="1" applyFont="1" applyBorder="1" applyAlignment="1">
      <alignment horizontal="left" wrapText="1"/>
    </xf>
    <xf numFmtId="164" fontId="7" fillId="0" borderId="0" xfId="46" applyNumberFormat="1" applyFont="1" applyAlignment="1">
      <alignment horizontal="left" wrapText="1"/>
    </xf>
    <xf numFmtId="0" fontId="6" fillId="0" borderId="0" xfId="46" applyAlignment="1">
      <alignment horizontal="left" wrapText="1"/>
    </xf>
    <xf numFmtId="0" fontId="10" fillId="0" borderId="0" xfId="46" applyFont="1" applyFill="1" applyBorder="1" applyAlignment="1">
      <alignment horizontal="right"/>
    </xf>
    <xf numFmtId="164" fontId="0" fillId="0" borderId="0" xfId="38" applyNumberFormat="1" applyFont="1" applyFill="1" applyBorder="1"/>
    <xf numFmtId="164" fontId="7" fillId="0" borderId="0" xfId="46" applyNumberFormat="1" applyFont="1" applyBorder="1" applyAlignment="1">
      <alignment horizontal="left" wrapText="1"/>
    </xf>
    <xf numFmtId="0" fontId="6" fillId="0" borderId="0" xfId="46" applyBorder="1" applyAlignment="1">
      <alignment horizontal="left" indent="1"/>
    </xf>
    <xf numFmtId="165" fontId="0" fillId="0" borderId="0" xfId="40" applyNumberFormat="1" applyFont="1" applyBorder="1" applyAlignment="1">
      <alignment horizontal="center"/>
    </xf>
    <xf numFmtId="0" fontId="7" fillId="0" borderId="0" xfId="46" applyFont="1" applyBorder="1" applyAlignment="1">
      <alignment horizontal="right" indent="1"/>
    </xf>
    <xf numFmtId="0" fontId="6" fillId="0" borderId="0" xfId="46" applyFill="1" applyBorder="1" applyAlignment="1">
      <alignment horizontal="left" indent="2"/>
    </xf>
    <xf numFmtId="164" fontId="0" fillId="0" borderId="0" xfId="76" applyNumberFormat="1" applyFont="1" applyBorder="1" applyAlignment="1">
      <alignment horizontal="center"/>
    </xf>
    <xf numFmtId="165" fontId="0" fillId="0" borderId="0" xfId="40" applyNumberFormat="1" applyFont="1"/>
    <xf numFmtId="0" fontId="7" fillId="0" borderId="0" xfId="46" applyFont="1" applyFill="1" applyBorder="1" applyAlignment="1">
      <alignment horizontal="right"/>
    </xf>
    <xf numFmtId="0" fontId="7" fillId="0" borderId="0" xfId="46" applyFont="1" applyBorder="1" applyAlignment="1">
      <alignment horizontal="right"/>
    </xf>
    <xf numFmtId="164" fontId="7" fillId="0" borderId="57" xfId="46" applyNumberFormat="1" applyFont="1" applyBorder="1" applyAlignment="1">
      <alignment horizontal="left" wrapText="1"/>
    </xf>
    <xf numFmtId="44" fontId="6" fillId="0" borderId="0" xfId="46" applyNumberFormat="1"/>
    <xf numFmtId="0" fontId="10" fillId="0" borderId="0" xfId="46" applyFont="1" applyFill="1" applyBorder="1" applyAlignment="1">
      <alignment horizontal="right" wrapText="1"/>
    </xf>
    <xf numFmtId="0" fontId="7" fillId="0" borderId="0" xfId="46" applyFont="1" applyFill="1" applyBorder="1"/>
    <xf numFmtId="164" fontId="0" fillId="0" borderId="0" xfId="38" applyNumberFormat="1" applyFont="1"/>
    <xf numFmtId="164" fontId="6" fillId="0" borderId="0" xfId="46" applyNumberFormat="1"/>
    <xf numFmtId="164" fontId="6" fillId="0" borderId="0" xfId="46" applyNumberFormat="1" applyAlignment="1">
      <alignment horizontal="left" wrapText="1"/>
    </xf>
    <xf numFmtId="0" fontId="6" fillId="0" borderId="0" xfId="46" applyAlignment="1">
      <alignment vertical="top"/>
    </xf>
    <xf numFmtId="0" fontId="6" fillId="0" borderId="0" xfId="46" applyAlignment="1">
      <alignment horizontal="left" vertical="top" wrapText="1"/>
    </xf>
    <xf numFmtId="164" fontId="6" fillId="0" borderId="0" xfId="46" applyNumberFormat="1" applyFill="1" applyAlignment="1">
      <alignment horizontal="right"/>
    </xf>
    <xf numFmtId="164" fontId="6" fillId="0" borderId="0" xfId="46" applyNumberFormat="1" applyBorder="1"/>
    <xf numFmtId="0" fontId="6" fillId="0" borderId="0" xfId="46" applyAlignment="1">
      <alignment horizontal="left"/>
    </xf>
    <xf numFmtId="0" fontId="6" fillId="0" borderId="0" xfId="46" applyFill="1" applyBorder="1"/>
    <xf numFmtId="164" fontId="6" fillId="0" borderId="0" xfId="46" applyNumberFormat="1" applyFill="1" applyBorder="1" applyAlignment="1">
      <alignment horizontal="right"/>
    </xf>
    <xf numFmtId="164" fontId="6" fillId="0" borderId="0" xfId="46" applyNumberFormat="1" applyFill="1" applyBorder="1"/>
    <xf numFmtId="0" fontId="6" fillId="0" borderId="0" xfId="46" applyFill="1" applyBorder="1" applyAlignment="1">
      <alignment wrapText="1"/>
    </xf>
    <xf numFmtId="164" fontId="6" fillId="0" borderId="0" xfId="46" applyNumberFormat="1" applyFill="1"/>
    <xf numFmtId="164" fontId="39" fillId="0" borderId="0" xfId="46" applyNumberFormat="1" applyFont="1" applyFill="1" applyBorder="1" applyAlignment="1">
      <alignment horizontal="right"/>
    </xf>
    <xf numFmtId="0" fontId="6" fillId="0" borderId="0" xfId="46" applyFill="1" applyBorder="1" applyAlignment="1">
      <alignment vertical="top"/>
    </xf>
    <xf numFmtId="164" fontId="6" fillId="0" borderId="0" xfId="46" applyNumberFormat="1" applyFont="1" applyFill="1" applyBorder="1"/>
    <xf numFmtId="164" fontId="35" fillId="0" borderId="0" xfId="46" applyNumberFormat="1" applyFont="1" applyFill="1" applyBorder="1"/>
    <xf numFmtId="0" fontId="40" fillId="0" borderId="0" xfId="46" applyFont="1" applyFill="1" applyBorder="1"/>
    <xf numFmtId="0" fontId="6" fillId="0" borderId="0" xfId="46" applyFont="1" applyFill="1" applyBorder="1"/>
    <xf numFmtId="0" fontId="6" fillId="0" borderId="0" xfId="46" applyFont="1" applyFill="1" applyBorder="1" applyAlignment="1">
      <alignment horizontal="center"/>
    </xf>
    <xf numFmtId="164" fontId="39" fillId="0" borderId="0" xfId="46" applyNumberFormat="1" applyFont="1" applyFill="1" applyBorder="1"/>
    <xf numFmtId="165" fontId="31" fillId="0" borderId="1" xfId="4" applyNumberFormat="1" applyFont="1" applyFill="1" applyBorder="1" applyAlignment="1">
      <alignment horizontal="center"/>
    </xf>
    <xf numFmtId="0" fontId="31" fillId="0" borderId="1" xfId="4" applyNumberFormat="1" applyFont="1" applyFill="1" applyBorder="1" applyAlignment="1">
      <alignment horizontal="right"/>
    </xf>
    <xf numFmtId="1" fontId="0" fillId="0" borderId="1" xfId="4" applyNumberFormat="1" applyFont="1" applyFill="1" applyBorder="1" applyAlignment="1">
      <alignment horizontal="right"/>
    </xf>
    <xf numFmtId="0" fontId="0" fillId="0" borderId="1" xfId="4" applyNumberFormat="1" applyFont="1" applyFill="1" applyBorder="1" applyAlignment="1">
      <alignment horizontal="right"/>
    </xf>
    <xf numFmtId="165" fontId="10" fillId="5" borderId="11" xfId="4" applyNumberFormat="1" applyFont="1" applyFill="1" applyBorder="1" applyAlignment="1">
      <alignment horizontal="center"/>
    </xf>
    <xf numFmtId="0" fontId="10" fillId="5" borderId="11" xfId="4" applyNumberFormat="1" applyFont="1" applyFill="1" applyBorder="1" applyAlignment="1">
      <alignment horizontal="right"/>
    </xf>
    <xf numFmtId="0" fontId="0" fillId="0" borderId="30" xfId="4" applyNumberFormat="1" applyFont="1" applyFill="1" applyBorder="1" applyAlignment="1">
      <alignment horizontal="center" wrapText="1"/>
    </xf>
    <xf numFmtId="165" fontId="31" fillId="0" borderId="30" xfId="4" applyNumberFormat="1" applyFont="1" applyFill="1" applyBorder="1" applyAlignment="1">
      <alignment horizontal="center"/>
    </xf>
    <xf numFmtId="165" fontId="27" fillId="0" borderId="30" xfId="4" applyNumberFormat="1" applyFont="1" applyFill="1" applyBorder="1" applyAlignment="1">
      <alignment horizontal="center"/>
    </xf>
    <xf numFmtId="168" fontId="0" fillId="0" borderId="30" xfId="4" applyNumberFormat="1" applyFont="1" applyFill="1" applyBorder="1" applyAlignment="1">
      <alignment horizontal="center"/>
    </xf>
    <xf numFmtId="0" fontId="37" fillId="0" borderId="29" xfId="0" applyFont="1" applyBorder="1" applyAlignment="1">
      <alignment horizontal="left" wrapText="1"/>
    </xf>
    <xf numFmtId="0" fontId="37" fillId="0" borderId="29" xfId="0" applyFont="1" applyBorder="1" applyAlignment="1">
      <alignment horizontal="left"/>
    </xf>
    <xf numFmtId="0" fontId="8" fillId="2" borderId="13" xfId="0" applyFont="1" applyFill="1" applyBorder="1" applyAlignment="1">
      <alignment horizontal="left" wrapText="1"/>
    </xf>
    <xf numFmtId="0" fontId="8" fillId="2" borderId="3" xfId="0" applyFont="1" applyFill="1" applyBorder="1" applyAlignment="1">
      <alignment horizontal="left" wrapText="1"/>
    </xf>
    <xf numFmtId="0" fontId="8" fillId="2" borderId="4" xfId="0" applyFont="1" applyFill="1" applyBorder="1" applyAlignment="1">
      <alignment horizontal="left" wrapText="1"/>
    </xf>
    <xf numFmtId="2" fontId="0" fillId="0" borderId="46" xfId="0" applyNumberFormat="1" applyFill="1" applyBorder="1" applyAlignment="1">
      <alignment horizontal="center" vertical="center"/>
    </xf>
    <xf numFmtId="2" fontId="0" fillId="0" borderId="15" xfId="0" applyNumberForma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center"/>
    </xf>
    <xf numFmtId="0" fontId="7" fillId="4" borderId="55" xfId="0" applyFont="1" applyFill="1" applyBorder="1" applyAlignment="1">
      <alignment horizontal="center"/>
    </xf>
    <xf numFmtId="0" fontId="7" fillId="4" borderId="5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8" fillId="0" borderId="13" xfId="0" applyFont="1" applyFill="1" applyBorder="1" applyAlignment="1">
      <alignment horizontal="left" wrapText="1"/>
    </xf>
    <xf numFmtId="0" fontId="8" fillId="0" borderId="3" xfId="0" applyFont="1" applyFill="1" applyBorder="1" applyAlignment="1">
      <alignment horizontal="left" wrapText="1"/>
    </xf>
    <xf numFmtId="0" fontId="8" fillId="0" borderId="16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left" wrapText="1"/>
    </xf>
    <xf numFmtId="164" fontId="31" fillId="0" borderId="2" xfId="2" applyNumberFormat="1" applyFont="1" applyFill="1" applyBorder="1" applyAlignment="1">
      <alignment horizontal="center" vertical="center"/>
    </xf>
    <xf numFmtId="164" fontId="31" fillId="0" borderId="14" xfId="2" applyNumberFormat="1" applyFon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right" vertical="center"/>
    </xf>
    <xf numFmtId="1" fontId="0" fillId="0" borderId="14" xfId="0" applyNumberFormat="1" applyFill="1" applyBorder="1" applyAlignment="1">
      <alignment horizontal="right" vertical="center"/>
    </xf>
    <xf numFmtId="165" fontId="31" fillId="0" borderId="2" xfId="4" applyNumberFormat="1" applyFont="1" applyFill="1" applyBorder="1" applyAlignment="1">
      <alignment horizontal="center" vertical="center"/>
    </xf>
    <xf numFmtId="165" fontId="31" fillId="0" borderId="14" xfId="4" applyNumberFormat="1" applyFont="1" applyFill="1" applyBorder="1" applyAlignment="1">
      <alignment horizontal="center" vertical="center"/>
    </xf>
    <xf numFmtId="164" fontId="0" fillId="0" borderId="2" xfId="2" applyNumberFormat="1" applyFont="1" applyFill="1" applyBorder="1" applyAlignment="1">
      <alignment horizontal="center" vertical="center"/>
    </xf>
    <xf numFmtId="164" fontId="0" fillId="0" borderId="14" xfId="2" applyNumberFormat="1" applyFon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0" fillId="0" borderId="14" xfId="0" applyNumberForma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164" fontId="27" fillId="0" borderId="2" xfId="2" applyNumberFormat="1" applyFont="1" applyFill="1" applyBorder="1" applyAlignment="1">
      <alignment horizontal="center" vertical="center"/>
    </xf>
    <xf numFmtId="164" fontId="27" fillId="0" borderId="14" xfId="2" applyNumberFormat="1" applyFon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/>
    </xf>
    <xf numFmtId="164" fontId="0" fillId="0" borderId="14" xfId="0" applyNumberFormat="1" applyFill="1" applyBorder="1" applyAlignment="1">
      <alignment horizontal="center"/>
    </xf>
    <xf numFmtId="165" fontId="27" fillId="0" borderId="2" xfId="4" applyNumberFormat="1" applyFont="1" applyFill="1" applyBorder="1" applyAlignment="1">
      <alignment horizontal="center" vertical="center"/>
    </xf>
    <xf numFmtId="165" fontId="27" fillId="0" borderId="14" xfId="4" applyNumberFormat="1" applyFont="1" applyFill="1" applyBorder="1" applyAlignment="1">
      <alignment horizontal="center" vertical="center"/>
    </xf>
    <xf numFmtId="164" fontId="0" fillId="0" borderId="2" xfId="2" applyNumberFormat="1" applyFont="1" applyFill="1" applyBorder="1" applyAlignment="1">
      <alignment horizontal="center"/>
    </xf>
    <xf numFmtId="164" fontId="0" fillId="0" borderId="14" xfId="2" applyNumberFormat="1" applyFont="1" applyFill="1" applyBorder="1" applyAlignment="1">
      <alignment horizontal="center"/>
    </xf>
    <xf numFmtId="165" fontId="0" fillId="0" borderId="2" xfId="4" applyNumberFormat="1" applyFont="1" applyFill="1" applyBorder="1" applyAlignment="1">
      <alignment horizontal="center" vertical="center"/>
    </xf>
    <xf numFmtId="165" fontId="0" fillId="0" borderId="14" xfId="4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/>
    </xf>
    <xf numFmtId="1" fontId="0" fillId="0" borderId="2" xfId="0" applyNumberFormat="1" applyFill="1" applyBorder="1" applyAlignment="1">
      <alignment horizontal="center" vertical="center"/>
    </xf>
    <xf numFmtId="1" fontId="0" fillId="0" borderId="14" xfId="0" applyNumberFormat="1" applyFill="1" applyBorder="1" applyAlignment="1">
      <alignment horizontal="center" vertical="center"/>
    </xf>
    <xf numFmtId="0" fontId="7" fillId="0" borderId="2" xfId="46" applyFont="1" applyFill="1" applyBorder="1" applyAlignment="1">
      <alignment horizontal="center" vertical="center"/>
    </xf>
    <xf numFmtId="0" fontId="7" fillId="0" borderId="14" xfId="46" applyFont="1" applyFill="1" applyBorder="1" applyAlignment="1">
      <alignment horizontal="center" vertical="center"/>
    </xf>
    <xf numFmtId="0" fontId="6" fillId="0" borderId="0" xfId="46" applyFill="1" applyBorder="1" applyAlignment="1">
      <alignment horizontal="left" wrapText="1"/>
    </xf>
    <xf numFmtId="0" fontId="7" fillId="3" borderId="13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 wrapText="1"/>
    </xf>
    <xf numFmtId="0" fontId="7" fillId="3" borderId="37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0" borderId="13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20" fillId="18" borderId="13" xfId="12" applyNumberFormat="1" applyFont="1" applyFill="1" applyBorder="1" applyAlignment="1" applyProtection="1">
      <alignment horizontal="center"/>
    </xf>
    <xf numFmtId="0" fontId="20" fillId="18" borderId="3" xfId="12" applyNumberFormat="1" applyFont="1" applyFill="1" applyBorder="1" applyAlignment="1" applyProtection="1">
      <alignment horizontal="center"/>
    </xf>
    <xf numFmtId="0" fontId="20" fillId="18" borderId="4" xfId="12" applyNumberFormat="1" applyFont="1" applyFill="1" applyBorder="1" applyAlignment="1" applyProtection="1">
      <alignment horizontal="center"/>
    </xf>
    <xf numFmtId="0" fontId="20" fillId="19" borderId="37" xfId="12" applyNumberFormat="1" applyFont="1" applyFill="1" applyBorder="1" applyAlignment="1" applyProtection="1">
      <alignment horizontal="center"/>
    </xf>
    <xf numFmtId="0" fontId="20" fillId="19" borderId="38" xfId="12" applyNumberFormat="1" applyFont="1" applyFill="1" applyBorder="1" applyAlignment="1" applyProtection="1">
      <alignment horizontal="center"/>
    </xf>
    <xf numFmtId="0" fontId="20" fillId="19" borderId="39" xfId="12" applyNumberFormat="1" applyFont="1" applyFill="1" applyBorder="1" applyAlignment="1" applyProtection="1">
      <alignment horizontal="center"/>
    </xf>
    <xf numFmtId="0" fontId="20" fillId="20" borderId="37" xfId="12" applyNumberFormat="1" applyFont="1" applyFill="1" applyBorder="1" applyAlignment="1" applyProtection="1">
      <alignment horizontal="center"/>
    </xf>
    <xf numFmtId="0" fontId="20" fillId="20" borderId="38" xfId="12" applyNumberFormat="1" applyFont="1" applyFill="1" applyBorder="1" applyAlignment="1" applyProtection="1">
      <alignment horizontal="center"/>
    </xf>
    <xf numFmtId="0" fontId="20" fillId="20" borderId="39" xfId="12" applyNumberFormat="1" applyFont="1" applyFill="1" applyBorder="1" applyAlignment="1" applyProtection="1">
      <alignment horizontal="center"/>
    </xf>
    <xf numFmtId="0" fontId="20" fillId="21" borderId="37" xfId="12" applyNumberFormat="1" applyFont="1" applyFill="1" applyBorder="1" applyAlignment="1" applyProtection="1">
      <alignment horizontal="center"/>
    </xf>
    <xf numFmtId="0" fontId="20" fillId="21" borderId="39" xfId="12" applyNumberFormat="1" applyFont="1" applyFill="1" applyBorder="1" applyAlignment="1" applyProtection="1">
      <alignment horizontal="center"/>
    </xf>
    <xf numFmtId="0" fontId="29" fillId="4" borderId="41" xfId="32" applyFont="1" applyFill="1" applyBorder="1" applyAlignment="1">
      <alignment horizontal="center" textRotation="68" wrapText="1"/>
    </xf>
    <xf numFmtId="0" fontId="29" fillId="4" borderId="48" xfId="32" applyFont="1" applyFill="1" applyBorder="1" applyAlignment="1">
      <alignment horizontal="center" textRotation="68" wrapText="1"/>
    </xf>
    <xf numFmtId="0" fontId="29" fillId="4" borderId="42" xfId="32" applyFont="1" applyFill="1" applyBorder="1" applyAlignment="1">
      <alignment horizontal="center" textRotation="68"/>
    </xf>
    <xf numFmtId="0" fontId="29" fillId="4" borderId="40" xfId="32" applyFont="1" applyFill="1" applyBorder="1" applyAlignment="1">
      <alignment horizontal="center" textRotation="68"/>
    </xf>
    <xf numFmtId="0" fontId="29" fillId="4" borderId="43" xfId="32" applyFont="1" applyFill="1" applyBorder="1" applyAlignment="1">
      <alignment horizontal="center" textRotation="68"/>
    </xf>
    <xf numFmtId="0" fontId="29" fillId="4" borderId="46" xfId="32" applyFont="1" applyFill="1" applyBorder="1" applyAlignment="1">
      <alignment horizontal="center" textRotation="68"/>
    </xf>
    <xf numFmtId="0" fontId="7" fillId="0" borderId="37" xfId="0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0" fillId="0" borderId="29" xfId="0" applyFill="1" applyBorder="1" applyAlignment="1">
      <alignment horizontal="center" wrapText="1"/>
    </xf>
    <xf numFmtId="0" fontId="0" fillId="0" borderId="17" xfId="0" applyFill="1" applyBorder="1" applyAlignment="1">
      <alignment horizontal="center" wrapText="1"/>
    </xf>
    <xf numFmtId="0" fontId="0" fillId="4" borderId="55" xfId="0" applyFont="1" applyFill="1" applyBorder="1" applyAlignment="1">
      <alignment horizontal="center"/>
    </xf>
    <xf numFmtId="0" fontId="0" fillId="4" borderId="56" xfId="0" applyFont="1" applyFill="1" applyBorder="1" applyAlignment="1">
      <alignment horizontal="center"/>
    </xf>
    <xf numFmtId="0" fontId="36" fillId="4" borderId="26" xfId="0" applyFont="1" applyFill="1" applyBorder="1" applyAlignment="1">
      <alignment horizontal="center"/>
    </xf>
    <xf numFmtId="0" fontId="36" fillId="4" borderId="55" xfId="0" applyFont="1" applyFill="1" applyBorder="1" applyAlignment="1">
      <alignment horizontal="center"/>
    </xf>
    <xf numFmtId="0" fontId="36" fillId="4" borderId="56" xfId="0" applyFont="1" applyFill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0" fillId="4" borderId="30" xfId="0" applyFill="1" applyBorder="1" applyAlignment="1">
      <alignment horizontal="center"/>
    </xf>
  </cellXfs>
  <cellStyles count="77">
    <cellStyle name="Bad 2" xfId="18"/>
    <cellStyle name="Calculation 2" xfId="20"/>
    <cellStyle name="Comma" xfId="4"/>
    <cellStyle name="Comma [0]" xfId="5"/>
    <cellStyle name="Comma [0] 2" xfId="41"/>
    <cellStyle name="Comma 10" xfId="48"/>
    <cellStyle name="Comma 2" xfId="7"/>
    <cellStyle name="Comma 2 2" xfId="40"/>
    <cellStyle name="Comma 2 3" xfId="51"/>
    <cellStyle name="Comma 3" xfId="10"/>
    <cellStyle name="Comma 3 2" xfId="45"/>
    <cellStyle name="Comma 3 3" xfId="54"/>
    <cellStyle name="Comma 4" xfId="13"/>
    <cellStyle name="Comma 4 2" xfId="57"/>
    <cellStyle name="Comma 5" xfId="22"/>
    <cellStyle name="Comma 5 2" xfId="60"/>
    <cellStyle name="Comma 6" xfId="24"/>
    <cellStyle name="Comma 6 2" xfId="62"/>
    <cellStyle name="Comma 7" xfId="26"/>
    <cellStyle name="Comma 7 2" xfId="64"/>
    <cellStyle name="Comma 8" xfId="29"/>
    <cellStyle name="Comma 8 2" xfId="67"/>
    <cellStyle name="Comma 9" xfId="34"/>
    <cellStyle name="Comma 9 2" xfId="72"/>
    <cellStyle name="Currency" xfId="2"/>
    <cellStyle name="Currency [0]" xfId="3"/>
    <cellStyle name="Currency [0] 2" xfId="39"/>
    <cellStyle name="Currency 10" xfId="33"/>
    <cellStyle name="Currency 10 2" xfId="71"/>
    <cellStyle name="Currency 11" xfId="35"/>
    <cellStyle name="Currency 11 2" xfId="73"/>
    <cellStyle name="Currency 12" xfId="49"/>
    <cellStyle name="Currency 13" xfId="76"/>
    <cellStyle name="Currency 2" xfId="8"/>
    <cellStyle name="Currency 2 2" xfId="38"/>
    <cellStyle name="Currency 2 3" xfId="52"/>
    <cellStyle name="Currency 3" xfId="11"/>
    <cellStyle name="Currency 3 2" xfId="44"/>
    <cellStyle name="Currency 3 3" xfId="55"/>
    <cellStyle name="Currency 4" xfId="14"/>
    <cellStyle name="Currency 4 2" xfId="58"/>
    <cellStyle name="Currency 5" xfId="23"/>
    <cellStyle name="Currency 5 2" xfId="61"/>
    <cellStyle name="Currency 6" xfId="25"/>
    <cellStyle name="Currency 6 2" xfId="63"/>
    <cellStyle name="Currency 7" xfId="27"/>
    <cellStyle name="Currency 7 2" xfId="65"/>
    <cellStyle name="Currency 8" xfId="28"/>
    <cellStyle name="Currency 8 2" xfId="66"/>
    <cellStyle name="Currency 9" xfId="31"/>
    <cellStyle name="Currency 9 2" xfId="69"/>
    <cellStyle name="Input 2" xfId="17"/>
    <cellStyle name="Neutral 2" xfId="15"/>
    <cellStyle name="Normal" xfId="0" builtinId="0"/>
    <cellStyle name="Normal 2" xfId="6"/>
    <cellStyle name="Normal 2 2" xfId="16"/>
    <cellStyle name="Normal 2 2 2" xfId="42"/>
    <cellStyle name="Normal 2 2 2 2" xfId="74"/>
    <cellStyle name="Normal 2 2 3" xfId="59"/>
    <cellStyle name="Normal 2 3" xfId="32"/>
    <cellStyle name="Normal 2 3 2" xfId="70"/>
    <cellStyle name="Normal 2 4" xfId="46"/>
    <cellStyle name="Normal 2 5" xfId="50"/>
    <cellStyle name="Normal 3" xfId="19"/>
    <cellStyle name="Normal 3 2" xfId="43"/>
    <cellStyle name="Normal 3 2 2" xfId="75"/>
    <cellStyle name="Normal 4" xfId="12"/>
    <cellStyle name="Normal 4 2" xfId="36"/>
    <cellStyle name="Normal 4 3" xfId="56"/>
    <cellStyle name="Normal 5" xfId="30"/>
    <cellStyle name="Normal 5 2" xfId="68"/>
    <cellStyle name="Normal 6" xfId="47"/>
    <cellStyle name="Percent" xfId="1"/>
    <cellStyle name="Percent 2" xfId="9"/>
    <cellStyle name="Percent 2 2" xfId="37"/>
    <cellStyle name="Percent 2 3" xfId="53"/>
    <cellStyle name="YCUSD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G"/><Relationship Id="rId2" Type="http://schemas.openxmlformats.org/officeDocument/2006/relationships/image" Target="../media/image32.JPG"/><Relationship Id="rId1" Type="http://schemas.openxmlformats.org/officeDocument/2006/relationships/image" Target="../media/image3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emf"/><Relationship Id="rId1" Type="http://schemas.openxmlformats.org/officeDocument/2006/relationships/image" Target="../media/image22.emf"/><Relationship Id="rId4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5" Type="http://schemas.openxmlformats.org/officeDocument/2006/relationships/image" Target="../media/image30.emf"/><Relationship Id="rId4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352137</xdr:colOff>
      <xdr:row>0</xdr:row>
      <xdr:rowOff>98138</xdr:rowOff>
    </xdr:from>
    <xdr:to>
      <xdr:col>13</xdr:col>
      <xdr:colOff>1361498</xdr:colOff>
      <xdr:row>0</xdr:row>
      <xdr:rowOff>1126838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7137" y="98138"/>
          <a:ext cx="2406361" cy="10287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14</xdr:row>
      <xdr:rowOff>101600</xdr:rowOff>
    </xdr:from>
    <xdr:to>
      <xdr:col>13</xdr:col>
      <xdr:colOff>1377696</xdr:colOff>
      <xdr:row>17</xdr:row>
      <xdr:rowOff>142748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6451600"/>
          <a:ext cx="1301496" cy="5364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16</xdr:col>
      <xdr:colOff>304800</xdr:colOff>
      <xdr:row>74</xdr:row>
      <xdr:rowOff>159560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5075"/>
          <a:ext cx="10058400" cy="58269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16</xdr:col>
      <xdr:colOff>304800</xdr:colOff>
      <xdr:row>117</xdr:row>
      <xdr:rowOff>29619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92075"/>
          <a:ext cx="10058400" cy="6182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36</xdr:row>
      <xdr:rowOff>90581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9198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12</xdr:col>
      <xdr:colOff>571500</xdr:colOff>
      <xdr:row>78</xdr:row>
      <xdr:rowOff>94443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5400"/>
          <a:ext cx="9020175" cy="11914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80682</xdr:colOff>
      <xdr:row>0</xdr:row>
      <xdr:rowOff>85138</xdr:rowOff>
    </xdr:from>
    <xdr:to>
      <xdr:col>7</xdr:col>
      <xdr:colOff>851647</xdr:colOff>
      <xdr:row>3</xdr:row>
      <xdr:rowOff>87406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7176" y="85138"/>
          <a:ext cx="1685365" cy="719444"/>
        </a:xfrm>
        <a:prstGeom prst="rect">
          <a:avLst/>
        </a:prstGeom>
      </xdr:spPr>
    </xdr:pic>
    <xdr:clientData/>
  </xdr:twoCellAnchor>
  <xdr:twoCellAnchor editAs="oneCell">
    <xdr:from>
      <xdr:col>6</xdr:col>
      <xdr:colOff>528918</xdr:colOff>
      <xdr:row>24</xdr:row>
      <xdr:rowOff>17929</xdr:rowOff>
    </xdr:from>
    <xdr:to>
      <xdr:col>8</xdr:col>
      <xdr:colOff>1614</xdr:colOff>
      <xdr:row>25</xdr:row>
      <xdr:rowOff>321295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5271247"/>
          <a:ext cx="1301496" cy="5364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9</xdr:row>
      <xdr:rowOff>28575</xdr:rowOff>
    </xdr:from>
    <xdr:to>
      <xdr:col>11</xdr:col>
      <xdr:colOff>590550</xdr:colOff>
      <xdr:row>87</xdr:row>
      <xdr:rowOff>15012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647950"/>
          <a:ext cx="9344025" cy="12616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85725</xdr:colOff>
      <xdr:row>8</xdr:row>
      <xdr:rowOff>123824</xdr:rowOff>
    </xdr:from>
    <xdr:to>
      <xdr:col>25</xdr:col>
      <xdr:colOff>447675</xdr:colOff>
      <xdr:row>86</xdr:row>
      <xdr:rowOff>131352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276474"/>
          <a:ext cx="8286750" cy="12637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12</xdr:col>
      <xdr:colOff>238125</xdr:colOff>
      <xdr:row>72</xdr:row>
      <xdr:rowOff>147845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"/>
          <a:ext cx="8143875" cy="10834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47625</xdr:colOff>
      <xdr:row>5</xdr:row>
      <xdr:rowOff>0</xdr:rowOff>
    </xdr:from>
    <xdr:to>
      <xdr:col>27</xdr:col>
      <xdr:colOff>66675</xdr:colOff>
      <xdr:row>73</xdr:row>
      <xdr:rowOff>41311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1514475"/>
          <a:ext cx="8553450" cy="11052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161924</xdr:rowOff>
    </xdr:from>
    <xdr:to>
      <xdr:col>8</xdr:col>
      <xdr:colOff>390525</xdr:colOff>
      <xdr:row>79</xdr:row>
      <xdr:rowOff>58325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0874"/>
          <a:ext cx="7467600" cy="1025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66675</xdr:colOff>
      <xdr:row>15</xdr:row>
      <xdr:rowOff>142874</xdr:rowOff>
    </xdr:from>
    <xdr:to>
      <xdr:col>25</xdr:col>
      <xdr:colOff>214867</xdr:colOff>
      <xdr:row>79</xdr:row>
      <xdr:rowOff>28575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3171824"/>
          <a:ext cx="9577942" cy="10248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9</xdr:col>
      <xdr:colOff>590550</xdr:colOff>
      <xdr:row>165</xdr:row>
      <xdr:rowOff>28574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3650575"/>
          <a:ext cx="5629275" cy="569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131</xdr:row>
      <xdr:rowOff>0</xdr:rowOff>
    </xdr:from>
    <xdr:to>
      <xdr:col>18</xdr:col>
      <xdr:colOff>1</xdr:colOff>
      <xdr:row>175</xdr:row>
      <xdr:rowOff>104776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23812500"/>
          <a:ext cx="5667375" cy="722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130</xdr:row>
      <xdr:rowOff>0</xdr:rowOff>
    </xdr:from>
    <xdr:to>
      <xdr:col>27</xdr:col>
      <xdr:colOff>238126</xdr:colOff>
      <xdr:row>175</xdr:row>
      <xdr:rowOff>28575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23650575"/>
          <a:ext cx="5705475" cy="731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314</xdr:row>
      <xdr:rowOff>152400</xdr:rowOff>
    </xdr:from>
    <xdr:to>
      <xdr:col>9</xdr:col>
      <xdr:colOff>380277</xdr:colOff>
      <xdr:row>362</xdr:row>
      <xdr:rowOff>94286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50996850"/>
          <a:ext cx="5790477" cy="77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142875</xdr:rowOff>
    </xdr:from>
    <xdr:to>
      <xdr:col>9</xdr:col>
      <xdr:colOff>456458</xdr:colOff>
      <xdr:row>410</xdr:row>
      <xdr:rowOff>27618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8759725"/>
          <a:ext cx="5942858" cy="7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503848</xdr:colOff>
      <xdr:row>37</xdr:row>
      <xdr:rowOff>37347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7819048" cy="6028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9</xdr:col>
      <xdr:colOff>532648</xdr:colOff>
      <xdr:row>88</xdr:row>
      <xdr:rowOff>8512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153150"/>
          <a:ext cx="6019048" cy="8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9</xdr:col>
      <xdr:colOff>446934</xdr:colOff>
      <xdr:row>138</xdr:row>
      <xdr:rowOff>46628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411325"/>
          <a:ext cx="5933334" cy="79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12</xdr:col>
      <xdr:colOff>446705</xdr:colOff>
      <xdr:row>175</xdr:row>
      <xdr:rowOff>123081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2507575"/>
          <a:ext cx="7761905" cy="5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9</xdr:col>
      <xdr:colOff>246934</xdr:colOff>
      <xdr:row>225</xdr:row>
      <xdr:rowOff>103771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98800"/>
          <a:ext cx="5733334" cy="80380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9</xdr:col>
      <xdr:colOff>580267</xdr:colOff>
      <xdr:row>276</xdr:row>
      <xdr:rowOff>18036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6595050"/>
          <a:ext cx="6066667" cy="8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12</xdr:col>
      <xdr:colOff>437181</xdr:colOff>
      <xdr:row>314</xdr:row>
      <xdr:rowOff>27823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4853225"/>
          <a:ext cx="7752381" cy="60190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12</xdr:col>
      <xdr:colOff>695325</xdr:colOff>
      <xdr:row>65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6900"/>
          <a:ext cx="5972175" cy="691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23</xdr:row>
      <xdr:rowOff>0</xdr:rowOff>
    </xdr:from>
    <xdr:to>
      <xdr:col>34</xdr:col>
      <xdr:colOff>95250</xdr:colOff>
      <xdr:row>72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5676900"/>
          <a:ext cx="6086475" cy="806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75</xdr:row>
      <xdr:rowOff>0</xdr:rowOff>
    </xdr:from>
    <xdr:to>
      <xdr:col>35</xdr:col>
      <xdr:colOff>399167</xdr:colOff>
      <xdr:row>135</xdr:row>
      <xdr:rowOff>46405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39075" y="13258800"/>
          <a:ext cx="7066667" cy="976190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136</xdr:row>
      <xdr:rowOff>0</xdr:rowOff>
    </xdr:from>
    <xdr:to>
      <xdr:col>35</xdr:col>
      <xdr:colOff>503929</xdr:colOff>
      <xdr:row>197</xdr:row>
      <xdr:rowOff>36861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9075" y="23136225"/>
          <a:ext cx="7171429" cy="9914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511971</xdr:colOff>
      <xdr:row>6</xdr:row>
      <xdr:rowOff>133349</xdr:rowOff>
    </xdr:from>
    <xdr:to>
      <xdr:col>23</xdr:col>
      <xdr:colOff>179008</xdr:colOff>
      <xdr:row>37</xdr:row>
      <xdr:rowOff>168656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3371" y="2333624"/>
          <a:ext cx="6544087" cy="5845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553169</xdr:colOff>
      <xdr:row>7</xdr:row>
      <xdr:rowOff>19052</xdr:rowOff>
    </xdr:from>
    <xdr:to>
      <xdr:col>30</xdr:col>
      <xdr:colOff>542925</xdr:colOff>
      <xdr:row>37</xdr:row>
      <xdr:rowOff>38101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2944" y="3343277"/>
          <a:ext cx="4866556" cy="541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71</xdr:row>
      <xdr:rowOff>0</xdr:rowOff>
    </xdr:from>
    <xdr:to>
      <xdr:col>10</xdr:col>
      <xdr:colOff>152400</xdr:colOff>
      <xdr:row>112</xdr:row>
      <xdr:rowOff>85724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746325"/>
          <a:ext cx="8905875" cy="672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71</xdr:row>
      <xdr:rowOff>0</xdr:rowOff>
    </xdr:from>
    <xdr:to>
      <xdr:col>23</xdr:col>
      <xdr:colOff>180975</xdr:colOff>
      <xdr:row>111</xdr:row>
      <xdr:rowOff>166687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24488775"/>
          <a:ext cx="8943975" cy="663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499268</xdr:colOff>
      <xdr:row>38</xdr:row>
      <xdr:rowOff>23019</xdr:rowOff>
    </xdr:from>
    <xdr:to>
      <xdr:col>20</xdr:col>
      <xdr:colOff>483393</xdr:colOff>
      <xdr:row>69</xdr:row>
      <xdr:rowOff>100697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0643" y="9012238"/>
          <a:ext cx="4984750" cy="5244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23"/>
  <sheetViews>
    <sheetView zoomScale="40" zoomScaleNormal="40" zoomScalePageLayoutView="70" workbookViewId="0">
      <pane ySplit="3" topLeftCell="A4" activePane="bottomLeft" state="frozen"/>
      <selection activeCell="E15" sqref="E15"/>
      <selection pane="bottomLeft" activeCell="E9" sqref="E9"/>
    </sheetView>
  </sheetViews>
  <sheetFormatPr defaultColWidth="2.5703125" defaultRowHeight="12.75" outlineLevelCol="1" x14ac:dyDescent="0.2"/>
  <cols>
    <col min="1" max="1" width="2.5703125" customWidth="1"/>
    <col min="2" max="2" width="33.85546875" style="3" customWidth="1"/>
    <col min="3" max="3" width="21.140625" style="1" customWidth="1"/>
    <col min="4" max="4" width="19.85546875" style="1" customWidth="1"/>
    <col min="5" max="5" width="24.42578125" customWidth="1"/>
    <col min="6" max="6" width="19.140625" customWidth="1" outlineLevel="1"/>
    <col min="7" max="9" width="16.28515625" customWidth="1" outlineLevel="1"/>
    <col min="10" max="10" width="19" customWidth="1" outlineLevel="1"/>
    <col min="11" max="12" width="17.7109375" customWidth="1" outlineLevel="1"/>
    <col min="13" max="13" width="20.42578125" customWidth="1"/>
    <col min="14" max="14" width="21.140625" customWidth="1"/>
    <col min="15" max="15" width="11.28515625" customWidth="1"/>
    <col min="16" max="16" width="14.85546875" customWidth="1"/>
    <col min="17" max="18" width="12.42578125" customWidth="1"/>
    <col min="19" max="19" width="14.7109375" customWidth="1"/>
    <col min="20" max="20" width="18.5703125" customWidth="1"/>
    <col min="21" max="21" width="13.28515625" customWidth="1"/>
    <col min="22" max="22" width="10.28515625" customWidth="1"/>
  </cols>
  <sheetData>
    <row r="1" spans="2:22" ht="96" customHeight="1" thickBot="1" x14ac:dyDescent="0.4">
      <c r="B1" s="831" t="s">
        <v>760</v>
      </c>
      <c r="C1" s="832"/>
      <c r="D1" s="832"/>
      <c r="E1" s="832"/>
      <c r="F1" s="832"/>
      <c r="G1" s="832"/>
      <c r="H1" s="832"/>
      <c r="I1" s="832"/>
      <c r="J1" s="832"/>
      <c r="K1" s="832"/>
      <c r="L1" s="832"/>
      <c r="M1" s="832"/>
      <c r="N1" s="832"/>
    </row>
    <row r="2" spans="2:22" s="12" customFormat="1" ht="49.15" customHeight="1" x14ac:dyDescent="0.3">
      <c r="B2" s="833" t="s">
        <v>54</v>
      </c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5"/>
      <c r="O2" s="61"/>
      <c r="P2" s="62"/>
      <c r="Q2" s="62"/>
      <c r="R2" s="62"/>
      <c r="S2" s="16"/>
      <c r="T2" s="16"/>
      <c r="U2" s="16"/>
      <c r="V2" s="16"/>
    </row>
    <row r="3" spans="2:22" s="68" customFormat="1" ht="54" customHeight="1" x14ac:dyDescent="0.2">
      <c r="B3" s="77" t="s">
        <v>34</v>
      </c>
      <c r="C3" s="72" t="s">
        <v>13</v>
      </c>
      <c r="D3" s="72" t="s">
        <v>14</v>
      </c>
      <c r="E3" s="72" t="s">
        <v>15</v>
      </c>
      <c r="F3" s="60" t="s">
        <v>21</v>
      </c>
      <c r="G3" s="60" t="s">
        <v>19</v>
      </c>
      <c r="H3" s="60" t="s">
        <v>32</v>
      </c>
      <c r="I3" s="60" t="s">
        <v>33</v>
      </c>
      <c r="J3" s="72" t="s">
        <v>16</v>
      </c>
      <c r="K3" s="72" t="s">
        <v>75</v>
      </c>
      <c r="L3" s="73" t="s">
        <v>27</v>
      </c>
      <c r="M3" s="124" t="s">
        <v>76</v>
      </c>
      <c r="N3" s="78" t="s">
        <v>17</v>
      </c>
      <c r="O3" s="33"/>
      <c r="P3" s="33"/>
      <c r="Q3" s="33"/>
      <c r="R3" s="33"/>
      <c r="S3" s="33"/>
      <c r="T3" s="33"/>
      <c r="U3" s="33"/>
      <c r="V3" s="33"/>
    </row>
    <row r="4" spans="2:22" s="82" customFormat="1" ht="44.45" customHeight="1" x14ac:dyDescent="0.2">
      <c r="B4" s="83" t="s">
        <v>35</v>
      </c>
      <c r="C4" s="64">
        <f>'Burchfield ES '!U18</f>
        <v>98352.767391304355</v>
      </c>
      <c r="D4" s="84">
        <f>'Burchfield ES '!V18</f>
        <v>140</v>
      </c>
      <c r="E4" s="90">
        <f>'Burchfield ES '!W18</f>
        <v>22161.426500000001</v>
      </c>
      <c r="F4" s="140">
        <f>'Burchfield ES '!N18</f>
        <v>13269.728000000001</v>
      </c>
      <c r="G4" s="140">
        <f>'Burchfield ES '!O18</f>
        <v>14243.859675000002</v>
      </c>
      <c r="H4" s="140">
        <f>'Burchfield ES '!P18</f>
        <v>13786.54774</v>
      </c>
      <c r="I4" s="140">
        <f>'Burchfield ES '!Q18</f>
        <v>1960.4591999999998</v>
      </c>
      <c r="J4" s="127">
        <f>'Burchfield ES '!R18</f>
        <v>215814.44136500001</v>
      </c>
      <c r="K4" s="126">
        <f>'Burchfield ES '!T18</f>
        <v>0</v>
      </c>
      <c r="L4" s="80"/>
      <c r="M4" s="128">
        <f>J4-K4-L4</f>
        <v>215814.44136500001</v>
      </c>
      <c r="N4" s="81"/>
      <c r="O4" s="33"/>
      <c r="P4" s="33"/>
      <c r="Q4" s="33"/>
      <c r="R4" s="33"/>
      <c r="S4" s="33"/>
      <c r="T4" s="33"/>
      <c r="U4" s="33"/>
      <c r="V4" s="33"/>
    </row>
    <row r="5" spans="2:22" s="82" customFormat="1" ht="36.6" customHeight="1" x14ac:dyDescent="0.2">
      <c r="B5" s="63" t="s">
        <v>81</v>
      </c>
      <c r="C5" s="64">
        <f>'Egling MS '!U23</f>
        <v>130511.2614379085</v>
      </c>
      <c r="D5" s="64">
        <f>'Egling MS '!V23</f>
        <v>637</v>
      </c>
      <c r="E5" s="91">
        <f>'Egling MS '!W23</f>
        <v>22252.071999999993</v>
      </c>
      <c r="F5" s="91">
        <f>'Egling MS '!N23</f>
        <v>9586.6</v>
      </c>
      <c r="G5" s="91">
        <f>'Egling MS '!O23</f>
        <v>11053.9635</v>
      </c>
      <c r="H5" s="91">
        <f>'Egling MS '!P23</f>
        <v>11612.410800000001</v>
      </c>
      <c r="I5" s="65">
        <f>'Egling MS '!Q23</f>
        <v>1339.635</v>
      </c>
      <c r="J5" s="93">
        <f>'Egling MS '!R23</f>
        <v>180190.74430000002</v>
      </c>
      <c r="K5" s="123">
        <f>'Egling MS '!T23</f>
        <v>0</v>
      </c>
      <c r="L5" s="66"/>
      <c r="M5" s="128">
        <f t="shared" ref="M5:M6" si="0">J5-K5-L5</f>
        <v>180190.74430000002</v>
      </c>
      <c r="N5" s="67"/>
      <c r="O5" s="33"/>
      <c r="P5" s="33"/>
      <c r="Q5" s="33"/>
      <c r="R5" s="33"/>
      <c r="S5" s="33"/>
      <c r="T5" s="33"/>
      <c r="U5" s="33"/>
      <c r="V5" s="33"/>
    </row>
    <row r="6" spans="2:22" s="82" customFormat="1" ht="34.15" customHeight="1" x14ac:dyDescent="0.2">
      <c r="B6" s="63" t="s">
        <v>36</v>
      </c>
      <c r="C6" s="64">
        <f>'Colusa HS'!U24</f>
        <v>121540.34177215191</v>
      </c>
      <c r="D6" s="64">
        <f>'Colusa HS'!V24</f>
        <v>911</v>
      </c>
      <c r="E6" s="91">
        <f>'Colusa HS'!W24</f>
        <v>20750.760999999999</v>
      </c>
      <c r="F6" s="91">
        <f>'Colusa HS'!N24</f>
        <v>8502.2080000000005</v>
      </c>
      <c r="G6" s="91">
        <f>'Colusa HS'!O24</f>
        <v>9325.0704999999998</v>
      </c>
      <c r="H6" s="91">
        <f>'Colusa HS'!P24</f>
        <v>10060.216399999999</v>
      </c>
      <c r="I6" s="65">
        <f>'Colusa HS'!Q24</f>
        <v>1068.6312</v>
      </c>
      <c r="J6" s="93">
        <f>'Colusa HS'!R24</f>
        <v>166361.83110000001</v>
      </c>
      <c r="K6" s="123">
        <f>'Colusa HS'!T24</f>
        <v>1000</v>
      </c>
      <c r="L6" s="66"/>
      <c r="M6" s="128">
        <f t="shared" si="0"/>
        <v>165361.83110000001</v>
      </c>
      <c r="N6" s="67"/>
      <c r="O6" s="33"/>
      <c r="P6" s="33"/>
      <c r="Q6" s="33"/>
      <c r="R6" s="33"/>
      <c r="S6" s="33"/>
      <c r="T6" s="33"/>
      <c r="U6" s="33"/>
      <c r="V6" s="33"/>
    </row>
    <row r="7" spans="2:22" ht="27" customHeight="1" thickBot="1" x14ac:dyDescent="0.25">
      <c r="B7" s="74" t="s">
        <v>18</v>
      </c>
      <c r="C7" s="75">
        <f t="shared" ref="C7:M7" si="1">SUM(C4:C6)</f>
        <v>350404.37060136476</v>
      </c>
      <c r="D7" s="75">
        <f t="shared" si="1"/>
        <v>1688</v>
      </c>
      <c r="E7" s="92">
        <f t="shared" si="1"/>
        <v>65164.259499999993</v>
      </c>
      <c r="F7" s="92">
        <f t="shared" si="1"/>
        <v>31358.536</v>
      </c>
      <c r="G7" s="92">
        <f t="shared" si="1"/>
        <v>34622.893674999999</v>
      </c>
      <c r="H7" s="92">
        <f t="shared" si="1"/>
        <v>35459.174939999997</v>
      </c>
      <c r="I7" s="92">
        <f t="shared" si="1"/>
        <v>4368.7253999999994</v>
      </c>
      <c r="J7" s="92">
        <f t="shared" si="1"/>
        <v>562367.01676500007</v>
      </c>
      <c r="K7" s="125">
        <f t="shared" si="1"/>
        <v>1000</v>
      </c>
      <c r="L7" s="76">
        <f t="shared" si="1"/>
        <v>0</v>
      </c>
      <c r="M7" s="129">
        <f t="shared" si="1"/>
        <v>561367.01676500007</v>
      </c>
      <c r="N7" s="132">
        <v>1.68</v>
      </c>
      <c r="O7" s="29"/>
      <c r="P7" s="31"/>
      <c r="Q7" s="8"/>
      <c r="R7" s="8"/>
      <c r="S7" s="8"/>
      <c r="T7" s="30"/>
      <c r="U7" s="29"/>
      <c r="V7" s="29"/>
    </row>
    <row r="8" spans="2:22" ht="14.45" customHeight="1" thickBot="1" x14ac:dyDescent="0.25">
      <c r="B8" s="9"/>
      <c r="C8" s="7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29"/>
      <c r="P8" s="31"/>
      <c r="Q8" s="8"/>
      <c r="R8" s="8"/>
      <c r="S8" s="8"/>
      <c r="T8" s="30"/>
      <c r="U8" s="29"/>
      <c r="V8" s="29"/>
    </row>
    <row r="9" spans="2:22" ht="27.6" customHeight="1" x14ac:dyDescent="0.2">
      <c r="B9" s="57" t="s">
        <v>38</v>
      </c>
      <c r="C9" s="94">
        <v>112836</v>
      </c>
      <c r="D9" s="7"/>
      <c r="E9" s="55"/>
      <c r="F9" s="56"/>
      <c r="G9" s="54"/>
      <c r="H9" s="54"/>
      <c r="I9" s="54"/>
      <c r="J9" s="53"/>
      <c r="K9" s="53"/>
      <c r="L9" s="4"/>
      <c r="M9" s="4"/>
      <c r="N9" s="4"/>
      <c r="O9" s="29"/>
      <c r="P9" s="31"/>
      <c r="Q9" s="31"/>
      <c r="R9" s="31"/>
      <c r="S9" s="8"/>
      <c r="T9" s="30"/>
      <c r="U9" s="32"/>
      <c r="V9" s="29"/>
    </row>
    <row r="10" spans="2:22" ht="19.899999999999999" customHeight="1" thickBot="1" x14ac:dyDescent="0.25">
      <c r="B10" s="58" t="s">
        <v>37</v>
      </c>
      <c r="C10" s="95">
        <v>111253</v>
      </c>
      <c r="D10" s="7"/>
      <c r="L10" s="4"/>
      <c r="M10" s="4"/>
      <c r="N10" s="4"/>
      <c r="O10" s="8"/>
      <c r="P10" s="8"/>
      <c r="Q10" s="8"/>
      <c r="R10" s="8"/>
      <c r="S10" s="8"/>
      <c r="T10" s="30"/>
      <c r="U10" s="29"/>
      <c r="V10" s="29"/>
    </row>
    <row r="11" spans="2:22" ht="29.45" customHeight="1" x14ac:dyDescent="0.25">
      <c r="B11" s="138" t="s">
        <v>86</v>
      </c>
      <c r="C11" s="139">
        <v>338508</v>
      </c>
      <c r="D11" s="4"/>
      <c r="G11" s="4"/>
      <c r="H11" s="142"/>
      <c r="I11" s="4"/>
      <c r="L11" s="4"/>
      <c r="M11" s="322" t="s">
        <v>266</v>
      </c>
      <c r="N11" s="327">
        <f>J7</f>
        <v>562367.01676500007</v>
      </c>
      <c r="O11" s="14"/>
      <c r="P11" s="14"/>
      <c r="Q11" s="14"/>
      <c r="R11" s="14"/>
      <c r="S11" s="35"/>
      <c r="T11" s="36"/>
      <c r="U11" s="36"/>
      <c r="V11" s="37"/>
    </row>
    <row r="12" spans="2:22" ht="29.45" customHeight="1" x14ac:dyDescent="0.25">
      <c r="B12" s="58" t="s">
        <v>87</v>
      </c>
      <c r="C12" s="95">
        <f>SUM(C9:C11)</f>
        <v>562597</v>
      </c>
      <c r="D12" s="4"/>
      <c r="G12" s="4"/>
      <c r="H12" s="4"/>
      <c r="I12" s="4"/>
      <c r="L12" s="4"/>
      <c r="M12" s="323" t="s">
        <v>759</v>
      </c>
      <c r="N12" s="324">
        <f>K6</f>
        <v>1000</v>
      </c>
      <c r="O12" s="14"/>
      <c r="P12" s="14"/>
      <c r="Q12" s="14"/>
      <c r="R12" s="14"/>
      <c r="S12" s="35"/>
      <c r="T12" s="36"/>
      <c r="U12" s="36"/>
      <c r="V12" s="37"/>
    </row>
    <row r="13" spans="2:22" ht="22.9" customHeight="1" thickBot="1" x14ac:dyDescent="0.3">
      <c r="B13" s="58"/>
      <c r="C13" s="141"/>
      <c r="D13" s="4"/>
      <c r="G13" s="4"/>
      <c r="H13" s="4"/>
      <c r="I13" s="4"/>
      <c r="L13" s="4"/>
      <c r="M13" s="325" t="s">
        <v>268</v>
      </c>
      <c r="N13" s="326">
        <f>M7</f>
        <v>561367.01676500007</v>
      </c>
      <c r="O13" s="14"/>
      <c r="P13" s="14"/>
      <c r="Q13" s="14"/>
      <c r="R13" s="14"/>
      <c r="S13" s="35"/>
      <c r="T13" s="36"/>
      <c r="U13" s="36"/>
      <c r="V13" s="37"/>
    </row>
    <row r="14" spans="2:22" ht="16.5" thickBot="1" x14ac:dyDescent="0.3">
      <c r="B14" s="59"/>
      <c r="C14" s="96"/>
      <c r="D14" s="4"/>
      <c r="G14" s="4"/>
      <c r="H14" s="4"/>
      <c r="I14" s="4"/>
      <c r="L14" s="4"/>
      <c r="M14" s="157" t="s">
        <v>755</v>
      </c>
      <c r="N14" s="321">
        <f>C12-N13</f>
        <v>1229.9832349999342</v>
      </c>
      <c r="O14" s="38"/>
      <c r="P14" s="39"/>
      <c r="Q14" s="39"/>
      <c r="R14" s="39"/>
      <c r="S14" s="39"/>
      <c r="T14" s="16"/>
      <c r="U14" s="16"/>
      <c r="V14" s="37"/>
    </row>
    <row r="16" spans="2:22" x14ac:dyDescent="0.2">
      <c r="C16" s="134"/>
      <c r="D16" s="135"/>
      <c r="E16" s="136"/>
      <c r="F16" s="137"/>
    </row>
    <row r="17" spans="3:3" x14ac:dyDescent="0.2">
      <c r="C17" s="79"/>
    </row>
    <row r="20" spans="3:3" x14ac:dyDescent="0.2">
      <c r="C20" s="89"/>
    </row>
    <row r="21" spans="3:3" x14ac:dyDescent="0.2">
      <c r="C21" s="79"/>
    </row>
    <row r="22" spans="3:3" x14ac:dyDescent="0.2">
      <c r="C22" s="89"/>
    </row>
    <row r="23" spans="3:3" x14ac:dyDescent="0.2">
      <c r="C23" s="79"/>
    </row>
  </sheetData>
  <mergeCells count="2">
    <mergeCell ref="B1:N1"/>
    <mergeCell ref="B2:N2"/>
  </mergeCells>
  <printOptions horizontalCentered="1" verticalCentered="1"/>
  <pageMargins left="0.75" right="0.75" top="1" bottom="1" header="0.5" footer="0.5"/>
  <pageSetup paperSize="3" orientation="landscape" r:id="rId1"/>
  <headerFooter>
    <oddFooter>&amp;L&amp;D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82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34" sqref="D34"/>
    </sheetView>
  </sheetViews>
  <sheetFormatPr defaultRowHeight="12.75" x14ac:dyDescent="0.2"/>
  <cols>
    <col min="1" max="1" width="32.42578125" customWidth="1"/>
    <col min="3" max="3" width="12" bestFit="1" customWidth="1"/>
    <col min="4" max="4" width="8.85546875" customWidth="1"/>
    <col min="5" max="5" width="11.85546875" customWidth="1"/>
    <col min="6" max="6" width="3" customWidth="1"/>
    <col min="7" max="7" width="11.28515625" customWidth="1"/>
    <col min="8" max="8" width="10.28515625" customWidth="1"/>
    <col min="10" max="10" width="12.140625" style="1" customWidth="1"/>
    <col min="11" max="11" width="14.85546875" customWidth="1"/>
    <col min="12" max="13" width="9.85546875" customWidth="1"/>
    <col min="14" max="14" width="12.85546875" bestFit="1" customWidth="1"/>
    <col min="15" max="15" width="12.85546875" customWidth="1"/>
    <col min="16" max="16" width="13.5703125" customWidth="1"/>
    <col min="17" max="17" width="13.28515625" customWidth="1"/>
    <col min="18" max="18" width="12.7109375" customWidth="1"/>
    <col min="19" max="19" width="12.85546875" customWidth="1"/>
    <col min="20" max="20" width="10" customWidth="1"/>
    <col min="21" max="23" width="11.42578125" customWidth="1"/>
    <col min="24" max="24" width="10.28515625" bestFit="1" customWidth="1"/>
  </cols>
  <sheetData>
    <row r="1" spans="1:24" ht="13.5" thickBot="1" x14ac:dyDescent="0.25">
      <c r="A1" s="880" t="s">
        <v>305</v>
      </c>
      <c r="B1" s="881"/>
      <c r="C1" s="881"/>
      <c r="D1" s="881"/>
      <c r="E1" s="881"/>
      <c r="F1" s="173"/>
      <c r="G1" s="173"/>
      <c r="H1" s="173"/>
      <c r="I1" s="173"/>
      <c r="J1" s="181"/>
      <c r="K1" s="173"/>
      <c r="L1" s="8"/>
    </row>
    <row r="2" spans="1:24" ht="13.5" thickBot="1" x14ac:dyDescent="0.25">
      <c r="A2" s="174"/>
      <c r="B2" s="8"/>
      <c r="C2" s="877" t="s">
        <v>303</v>
      </c>
      <c r="D2" s="878"/>
      <c r="E2" s="879"/>
      <c r="F2" s="8"/>
      <c r="G2" s="877" t="s">
        <v>124</v>
      </c>
      <c r="H2" s="878"/>
      <c r="I2" s="878"/>
      <c r="J2" s="878"/>
      <c r="K2" s="878"/>
      <c r="L2" s="878"/>
      <c r="M2" s="878"/>
      <c r="N2" s="878"/>
      <c r="O2" s="878"/>
      <c r="P2" s="878"/>
      <c r="Q2" s="878"/>
      <c r="R2" s="878"/>
      <c r="S2" s="878"/>
      <c r="T2" s="878"/>
      <c r="U2" s="878"/>
      <c r="V2" s="878"/>
      <c r="W2" s="878"/>
      <c r="X2" s="879"/>
    </row>
    <row r="3" spans="1:24" ht="63.75" x14ac:dyDescent="0.2">
      <c r="A3" s="177" t="s">
        <v>126</v>
      </c>
      <c r="B3" s="277" t="s">
        <v>93</v>
      </c>
      <c r="C3" s="267" t="s">
        <v>118</v>
      </c>
      <c r="D3" s="267" t="s">
        <v>119</v>
      </c>
      <c r="E3" s="267" t="s">
        <v>121</v>
      </c>
      <c r="F3" s="193"/>
      <c r="G3" s="267" t="s">
        <v>118</v>
      </c>
      <c r="H3" s="267" t="s">
        <v>119</v>
      </c>
      <c r="I3" s="267" t="s">
        <v>136</v>
      </c>
      <c r="J3" s="267" t="s">
        <v>123</v>
      </c>
      <c r="K3" s="267"/>
      <c r="L3" s="267" t="s">
        <v>231</v>
      </c>
      <c r="M3" s="267" t="s">
        <v>230</v>
      </c>
      <c r="N3" s="267" t="s">
        <v>229</v>
      </c>
      <c r="O3" s="267" t="s">
        <v>233</v>
      </c>
      <c r="P3" s="267" t="s">
        <v>237</v>
      </c>
      <c r="Q3" s="267" t="s">
        <v>238</v>
      </c>
      <c r="R3" s="267" t="s">
        <v>235</v>
      </c>
      <c r="S3" s="267" t="s">
        <v>236</v>
      </c>
      <c r="T3" s="267" t="s">
        <v>239</v>
      </c>
      <c r="U3" s="267" t="s">
        <v>240</v>
      </c>
      <c r="V3" s="267" t="s">
        <v>246</v>
      </c>
      <c r="W3" s="267" t="s">
        <v>247</v>
      </c>
      <c r="X3" s="267" t="s">
        <v>218</v>
      </c>
    </row>
    <row r="4" spans="1:24" x14ac:dyDescent="0.2">
      <c r="A4" s="174" t="s">
        <v>120</v>
      </c>
      <c r="B4" s="160">
        <v>31</v>
      </c>
      <c r="C4" s="169"/>
      <c r="D4" s="169"/>
      <c r="E4" s="169">
        <f>C4+D4</f>
        <v>0</v>
      </c>
      <c r="F4" s="8"/>
      <c r="G4" s="169">
        <f>B4*C4</f>
        <v>0</v>
      </c>
      <c r="H4" s="169">
        <f>B4*D4</f>
        <v>0</v>
      </c>
      <c r="I4" s="169">
        <v>0</v>
      </c>
      <c r="J4" s="171">
        <f>SUM(G4:I4)</f>
        <v>0</v>
      </c>
      <c r="K4" s="275">
        <f>(J4*26%)+J4</f>
        <v>0</v>
      </c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</row>
    <row r="5" spans="1:24" x14ac:dyDescent="0.2">
      <c r="A5" s="174" t="s">
        <v>115</v>
      </c>
      <c r="B5" s="160">
        <v>31</v>
      </c>
      <c r="C5" s="169">
        <v>175</v>
      </c>
      <c r="D5" s="169"/>
      <c r="E5" s="169">
        <f t="shared" ref="E5:E11" si="0">C5+D5</f>
        <v>175</v>
      </c>
      <c r="F5" s="8"/>
      <c r="G5" s="169">
        <f t="shared" ref="G5:G11" si="1">B5*C5</f>
        <v>5425</v>
      </c>
      <c r="H5" s="169">
        <f t="shared" ref="H5:H11" si="2">B5*D5</f>
        <v>0</v>
      </c>
      <c r="I5" s="169">
        <f t="shared" ref="I5:I9" si="3">G5*7.5%</f>
        <v>406.875</v>
      </c>
      <c r="J5" s="171">
        <f t="shared" ref="J5:J11" si="4">SUM(G5:I5)</f>
        <v>5831.875</v>
      </c>
      <c r="K5" s="275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</row>
    <row r="6" spans="1:24" x14ac:dyDescent="0.2">
      <c r="A6" s="174" t="s">
        <v>116</v>
      </c>
      <c r="B6" s="160">
        <v>1</v>
      </c>
      <c r="C6" s="169">
        <v>147</v>
      </c>
      <c r="D6" s="169"/>
      <c r="E6" s="169">
        <f t="shared" si="0"/>
        <v>147</v>
      </c>
      <c r="F6" s="8"/>
      <c r="G6" s="169">
        <f t="shared" si="1"/>
        <v>147</v>
      </c>
      <c r="H6" s="169">
        <f t="shared" si="2"/>
        <v>0</v>
      </c>
      <c r="I6" s="169">
        <f t="shared" si="3"/>
        <v>11.025</v>
      </c>
      <c r="J6" s="171">
        <f t="shared" si="4"/>
        <v>158.02500000000001</v>
      </c>
      <c r="K6" s="275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</row>
    <row r="7" spans="1:24" ht="25.5" x14ac:dyDescent="0.2">
      <c r="A7" s="191" t="s">
        <v>132</v>
      </c>
      <c r="B7" s="160">
        <v>5</v>
      </c>
      <c r="C7" s="169">
        <v>109</v>
      </c>
      <c r="D7" s="169"/>
      <c r="E7" s="169">
        <f t="shared" si="0"/>
        <v>109</v>
      </c>
      <c r="F7" s="8"/>
      <c r="G7" s="169">
        <f t="shared" si="1"/>
        <v>545</v>
      </c>
      <c r="H7" s="169">
        <f t="shared" si="2"/>
        <v>0</v>
      </c>
      <c r="I7" s="169">
        <f t="shared" si="3"/>
        <v>40.875</v>
      </c>
      <c r="J7" s="171">
        <f t="shared" si="4"/>
        <v>585.875</v>
      </c>
      <c r="K7" s="275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</row>
    <row r="8" spans="1:24" x14ac:dyDescent="0.2">
      <c r="A8" s="174" t="s">
        <v>133</v>
      </c>
      <c r="B8" s="160">
        <v>31</v>
      </c>
      <c r="C8" s="169">
        <v>92</v>
      </c>
      <c r="D8" s="169"/>
      <c r="E8" s="169">
        <f t="shared" si="0"/>
        <v>92</v>
      </c>
      <c r="F8" s="8"/>
      <c r="G8" s="169">
        <f t="shared" si="1"/>
        <v>2852</v>
      </c>
      <c r="H8" s="169">
        <f t="shared" si="2"/>
        <v>0</v>
      </c>
      <c r="I8" s="169">
        <f t="shared" si="3"/>
        <v>213.9</v>
      </c>
      <c r="J8" s="171">
        <f t="shared" si="4"/>
        <v>3065.9</v>
      </c>
      <c r="K8" s="275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</row>
    <row r="9" spans="1:24" x14ac:dyDescent="0.2">
      <c r="A9" s="174" t="s">
        <v>134</v>
      </c>
      <c r="B9" s="160">
        <v>31</v>
      </c>
      <c r="C9" s="169">
        <v>2.99</v>
      </c>
      <c r="D9" s="169"/>
      <c r="E9" s="169">
        <f t="shared" si="0"/>
        <v>2.99</v>
      </c>
      <c r="F9" s="8"/>
      <c r="G9" s="169">
        <f t="shared" si="1"/>
        <v>92.690000000000012</v>
      </c>
      <c r="H9" s="169">
        <f t="shared" si="2"/>
        <v>0</v>
      </c>
      <c r="I9" s="169">
        <f t="shared" si="3"/>
        <v>6.9517500000000005</v>
      </c>
      <c r="J9" s="171">
        <f t="shared" si="4"/>
        <v>99.641750000000016</v>
      </c>
      <c r="K9" s="275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</row>
    <row r="10" spans="1:24" x14ac:dyDescent="0.2">
      <c r="A10" s="174" t="s">
        <v>137</v>
      </c>
      <c r="B10" s="160">
        <v>31</v>
      </c>
      <c r="C10" s="169">
        <v>0</v>
      </c>
      <c r="D10" s="169"/>
      <c r="E10" s="169">
        <f t="shared" si="0"/>
        <v>0</v>
      </c>
      <c r="F10" s="8"/>
      <c r="G10" s="169">
        <f t="shared" si="1"/>
        <v>0</v>
      </c>
      <c r="H10" s="169">
        <f t="shared" ref="H10" si="5">B10*D10</f>
        <v>0</v>
      </c>
      <c r="I10" s="169">
        <v>0</v>
      </c>
      <c r="J10" s="171">
        <f t="shared" ref="J10" si="6">SUM(G10:I10)</f>
        <v>0</v>
      </c>
      <c r="K10" s="275">
        <f t="shared" ref="K10:K11" si="7">(J10*26%)+J10</f>
        <v>0</v>
      </c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</row>
    <row r="11" spans="1:24" ht="13.5" thickBot="1" x14ac:dyDescent="0.25">
      <c r="A11" s="174" t="s">
        <v>117</v>
      </c>
      <c r="B11" s="160">
        <v>31</v>
      </c>
      <c r="C11" s="170">
        <v>0</v>
      </c>
      <c r="D11" s="170"/>
      <c r="E11" s="170">
        <f t="shared" si="0"/>
        <v>0</v>
      </c>
      <c r="F11" s="8"/>
      <c r="G11" s="170">
        <f t="shared" si="1"/>
        <v>0</v>
      </c>
      <c r="H11" s="170">
        <f t="shared" si="2"/>
        <v>0</v>
      </c>
      <c r="I11" s="170">
        <v>0</v>
      </c>
      <c r="J11" s="172">
        <f t="shared" si="4"/>
        <v>0</v>
      </c>
      <c r="K11" s="276">
        <f t="shared" si="7"/>
        <v>0</v>
      </c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</row>
    <row r="12" spans="1:24" ht="14.25" thickTop="1" thickBot="1" x14ac:dyDescent="0.25">
      <c r="A12" s="174"/>
      <c r="B12" s="8"/>
      <c r="C12" s="32"/>
      <c r="D12" s="192"/>
      <c r="E12" s="201">
        <f>(E4+E5+E8+E9)+(E6/B5)+(E7*B7/B5)</f>
        <v>292.31258064516129</v>
      </c>
      <c r="F12" s="8"/>
      <c r="G12" s="30">
        <f>SUM(G4:G11)</f>
        <v>9061.69</v>
      </c>
      <c r="H12" s="32">
        <f>SUM(H4:H11)</f>
        <v>0</v>
      </c>
      <c r="I12" s="32">
        <f t="shared" ref="I12:J12" si="8">SUM(I4:I11)</f>
        <v>679.6267499999999</v>
      </c>
      <c r="J12" s="175">
        <f t="shared" si="8"/>
        <v>9741.31675</v>
      </c>
      <c r="K12" s="192">
        <f>SUM(K4:K11)</f>
        <v>0</v>
      </c>
      <c r="L12" s="293">
        <f>'Uti Rates &amp; Lighting Caps'!B3</f>
        <v>0.23</v>
      </c>
      <c r="M12" s="293">
        <f>'Uti Rates &amp; Lighting Caps'!C3</f>
        <v>0.82</v>
      </c>
      <c r="N12" s="292">
        <v>88322</v>
      </c>
      <c r="O12" s="292">
        <v>3108</v>
      </c>
      <c r="P12" s="287">
        <f>(L12*N12)</f>
        <v>20314.060000000001</v>
      </c>
      <c r="Q12" s="287">
        <f>M12*O12</f>
        <v>2548.56</v>
      </c>
      <c r="R12" s="290">
        <v>79490</v>
      </c>
      <c r="S12" s="290">
        <v>2797</v>
      </c>
      <c r="T12" s="288">
        <f>R12*L12</f>
        <v>18282.7</v>
      </c>
      <c r="U12" s="286">
        <f>S12*M12</f>
        <v>2293.54</v>
      </c>
      <c r="V12" s="284">
        <f>N12-R12</f>
        <v>8832</v>
      </c>
      <c r="W12" s="284">
        <f>O12-S12</f>
        <v>311</v>
      </c>
      <c r="X12" s="285">
        <f>(V12*L12)+(W12*M12)</f>
        <v>2286.38</v>
      </c>
    </row>
    <row r="13" spans="1:24" ht="13.5" thickBot="1" x14ac:dyDescent="0.25">
      <c r="A13" s="174" t="s">
        <v>747</v>
      </c>
      <c r="B13" s="8"/>
      <c r="C13" s="32"/>
      <c r="D13" s="32"/>
      <c r="E13" s="32"/>
      <c r="F13" s="8"/>
      <c r="G13" s="30"/>
      <c r="H13" s="203"/>
      <c r="I13" s="204" t="s">
        <v>145</v>
      </c>
      <c r="J13" s="205">
        <f>J12/B5</f>
        <v>314.23602419354836</v>
      </c>
      <c r="K13" s="192"/>
      <c r="L13" s="8"/>
      <c r="M13" s="8"/>
    </row>
    <row r="14" spans="1:24" x14ac:dyDescent="0.2">
      <c r="A14" s="174"/>
      <c r="B14" s="8"/>
      <c r="C14" s="32"/>
      <c r="D14" s="32"/>
      <c r="E14" s="32"/>
      <c r="F14" s="8"/>
      <c r="G14" s="30"/>
      <c r="H14" s="8"/>
      <c r="I14" s="8"/>
      <c r="J14" s="7"/>
      <c r="K14" s="32"/>
      <c r="L14" s="8"/>
      <c r="M14" s="8"/>
      <c r="O14" s="283" t="s">
        <v>234</v>
      </c>
      <c r="P14" s="282"/>
    </row>
    <row r="15" spans="1:24" x14ac:dyDescent="0.2">
      <c r="A15" s="174"/>
      <c r="B15" s="176"/>
      <c r="C15" s="32"/>
      <c r="D15" s="32"/>
      <c r="E15" s="32"/>
      <c r="F15" s="8"/>
      <c r="G15" s="30"/>
      <c r="H15" s="8"/>
      <c r="I15" s="8"/>
      <c r="J15" s="7"/>
      <c r="K15" s="281"/>
      <c r="L15" s="8"/>
      <c r="M15" s="8"/>
      <c r="O15" s="291" t="s">
        <v>270</v>
      </c>
      <c r="P15" s="289"/>
      <c r="Q15" s="289"/>
      <c r="R15" s="289"/>
    </row>
    <row r="16" spans="1:24" x14ac:dyDescent="0.2">
      <c r="A16" s="174"/>
      <c r="B16" s="8"/>
      <c r="C16" s="32"/>
      <c r="D16" s="32"/>
      <c r="E16" s="32"/>
      <c r="F16" s="8"/>
      <c r="G16" s="30"/>
      <c r="H16" s="8"/>
      <c r="I16" s="8"/>
      <c r="J16" s="7"/>
      <c r="K16" s="32"/>
      <c r="L16" s="8"/>
      <c r="M16" s="8"/>
      <c r="O16" s="295" t="s">
        <v>248</v>
      </c>
      <c r="P16" s="294"/>
    </row>
    <row r="17" spans="1:24" ht="12" customHeight="1" x14ac:dyDescent="0.2">
      <c r="A17" s="174"/>
      <c r="B17" s="8"/>
      <c r="C17" s="32"/>
      <c r="D17" s="32"/>
      <c r="E17" s="32"/>
      <c r="F17" s="8"/>
      <c r="G17" s="30"/>
      <c r="H17" s="8"/>
      <c r="I17" s="8"/>
      <c r="J17" s="7"/>
      <c r="K17" s="32"/>
      <c r="L17" s="8"/>
      <c r="M17" s="8"/>
    </row>
    <row r="18" spans="1:24" hidden="1" x14ac:dyDescent="0.2">
      <c r="A18" s="174"/>
      <c r="B18" s="8"/>
      <c r="C18" s="32"/>
      <c r="D18" s="32"/>
      <c r="E18" s="32"/>
      <c r="F18" s="8"/>
      <c r="G18" s="30"/>
      <c r="H18" s="8"/>
      <c r="I18" s="8"/>
      <c r="J18" s="7"/>
      <c r="K18" s="32"/>
      <c r="L18" s="8"/>
      <c r="M18" s="8"/>
    </row>
    <row r="19" spans="1:24" hidden="1" x14ac:dyDescent="0.2">
      <c r="A19" s="174"/>
      <c r="B19" s="176"/>
      <c r="C19" s="32"/>
      <c r="D19" s="32"/>
      <c r="E19" s="32"/>
      <c r="F19" s="8"/>
      <c r="G19" s="30"/>
      <c r="H19" s="8"/>
      <c r="I19" s="8"/>
      <c r="J19" s="7"/>
      <c r="K19" s="281"/>
      <c r="L19" s="8"/>
      <c r="M19" s="8"/>
    </row>
    <row r="20" spans="1:24" x14ac:dyDescent="0.2">
      <c r="A20" s="174"/>
      <c r="B20" s="176"/>
      <c r="C20" s="32"/>
      <c r="D20" s="32"/>
      <c r="E20" s="32"/>
      <c r="F20" s="8"/>
      <c r="G20" s="30"/>
      <c r="H20" s="8"/>
      <c r="I20" s="8"/>
      <c r="J20" s="7"/>
      <c r="K20" s="32"/>
      <c r="L20" s="8"/>
      <c r="M20" s="8"/>
    </row>
    <row r="21" spans="1:24" x14ac:dyDescent="0.2">
      <c r="A21" s="174" t="s">
        <v>228</v>
      </c>
      <c r="B21" s="176"/>
      <c r="C21" s="32"/>
      <c r="D21" s="32"/>
      <c r="E21" s="32"/>
      <c r="F21" s="8"/>
      <c r="G21" s="30"/>
      <c r="H21" s="8"/>
      <c r="I21" s="8"/>
      <c r="J21" s="7"/>
      <c r="K21" s="32"/>
      <c r="L21" s="8"/>
      <c r="M21" s="8"/>
    </row>
    <row r="22" spans="1:24" x14ac:dyDescent="0.2">
      <c r="A22" s="174"/>
      <c r="B22" s="8"/>
      <c r="C22" s="32"/>
      <c r="D22" s="32"/>
      <c r="E22" s="32"/>
      <c r="F22" s="8"/>
      <c r="G22" s="30"/>
      <c r="H22" s="8"/>
      <c r="I22" s="8"/>
      <c r="J22" s="7"/>
      <c r="K22" s="32"/>
      <c r="L22" s="8"/>
      <c r="M22" s="8"/>
    </row>
    <row r="23" spans="1:24" x14ac:dyDescent="0.2">
      <c r="A23" s="177" t="s">
        <v>129</v>
      </c>
      <c r="B23" s="8"/>
      <c r="C23" s="32"/>
      <c r="D23" s="32"/>
      <c r="E23" s="32"/>
      <c r="F23" s="8"/>
      <c r="G23" s="30"/>
      <c r="H23" s="8"/>
      <c r="I23" s="8"/>
      <c r="J23" s="7"/>
      <c r="K23" s="192">
        <f>J12</f>
        <v>9741.31675</v>
      </c>
      <c r="L23" s="8"/>
      <c r="M23" s="8"/>
    </row>
    <row r="24" spans="1:24" x14ac:dyDescent="0.2">
      <c r="A24" s="177" t="s">
        <v>135</v>
      </c>
      <c r="B24" s="8"/>
      <c r="C24" s="32"/>
      <c r="D24" s="32"/>
      <c r="E24" s="32"/>
      <c r="F24" s="8"/>
      <c r="G24" s="30"/>
      <c r="H24" s="8"/>
      <c r="I24" s="8"/>
      <c r="J24" s="7"/>
      <c r="K24" s="192">
        <f>K23/B5</f>
        <v>314.23602419354836</v>
      </c>
      <c r="L24" s="8"/>
      <c r="M24" s="8"/>
    </row>
    <row r="25" spans="1:24" x14ac:dyDescent="0.2">
      <c r="A25" s="177"/>
      <c r="B25" s="8"/>
      <c r="C25" s="32"/>
      <c r="D25" s="32"/>
      <c r="E25" s="32"/>
      <c r="F25" s="8"/>
      <c r="G25" s="30"/>
      <c r="H25" s="8"/>
      <c r="I25" s="8"/>
      <c r="J25" s="7"/>
      <c r="K25" s="32"/>
      <c r="L25" s="8"/>
      <c r="M25" s="8"/>
    </row>
    <row r="26" spans="1:24" s="8" customFormat="1" x14ac:dyDescent="0.2">
      <c r="C26" s="32"/>
      <c r="D26" s="32"/>
      <c r="E26" s="32"/>
      <c r="G26" s="30"/>
      <c r="J26" s="7"/>
      <c r="K26" s="32"/>
    </row>
    <row r="27" spans="1:24" ht="13.5" thickBot="1" x14ac:dyDescent="0.25">
      <c r="A27" s="174"/>
      <c r="B27" s="8"/>
      <c r="C27" s="32"/>
      <c r="D27" s="32"/>
      <c r="E27" s="32"/>
      <c r="F27" s="8"/>
      <c r="G27" s="30"/>
      <c r="H27" s="8"/>
      <c r="I27" s="8"/>
      <c r="J27" s="7"/>
      <c r="K27" s="32"/>
      <c r="L27" s="8"/>
      <c r="M27" s="8"/>
    </row>
    <row r="28" spans="1:24" ht="13.5" thickBot="1" x14ac:dyDescent="0.25">
      <c r="A28" s="174"/>
      <c r="B28" s="8"/>
      <c r="C28" s="877" t="s">
        <v>122</v>
      </c>
      <c r="D28" s="878"/>
      <c r="E28" s="879"/>
      <c r="F28" s="8"/>
      <c r="G28" s="877" t="s">
        <v>124</v>
      </c>
      <c r="H28" s="878"/>
      <c r="I28" s="878"/>
      <c r="J28" s="878"/>
      <c r="K28" s="878"/>
      <c r="L28" s="878"/>
      <c r="M28" s="878"/>
      <c r="N28" s="878"/>
      <c r="O28" s="878"/>
      <c r="P28" s="878"/>
      <c r="Q28" s="878"/>
      <c r="R28" s="878"/>
      <c r="S28" s="878"/>
      <c r="T28" s="878"/>
      <c r="U28" s="878"/>
      <c r="V28" s="878"/>
      <c r="W28" s="878"/>
      <c r="X28" s="879"/>
    </row>
    <row r="29" spans="1:24" ht="63.75" x14ac:dyDescent="0.2">
      <c r="A29" s="177" t="s">
        <v>95</v>
      </c>
      <c r="B29" s="277" t="s">
        <v>93</v>
      </c>
      <c r="C29" s="267" t="s">
        <v>118</v>
      </c>
      <c r="D29" s="267" t="s">
        <v>119</v>
      </c>
      <c r="E29" s="267" t="s">
        <v>121</v>
      </c>
      <c r="F29" s="193"/>
      <c r="G29" s="267" t="s">
        <v>118</v>
      </c>
      <c r="H29" s="267" t="s">
        <v>119</v>
      </c>
      <c r="I29" s="267" t="s">
        <v>136</v>
      </c>
      <c r="J29" s="267" t="s">
        <v>123</v>
      </c>
      <c r="K29" s="267"/>
      <c r="L29" s="267" t="s">
        <v>231</v>
      </c>
      <c r="M29" s="267" t="s">
        <v>230</v>
      </c>
      <c r="N29" s="267" t="s">
        <v>229</v>
      </c>
      <c r="O29" s="267" t="s">
        <v>233</v>
      </c>
      <c r="P29" s="267" t="s">
        <v>237</v>
      </c>
      <c r="Q29" s="267" t="s">
        <v>238</v>
      </c>
      <c r="R29" s="267" t="s">
        <v>235</v>
      </c>
      <c r="S29" s="267" t="s">
        <v>236</v>
      </c>
      <c r="T29" s="267" t="s">
        <v>239</v>
      </c>
      <c r="U29" s="267" t="s">
        <v>240</v>
      </c>
      <c r="V29" s="267" t="s">
        <v>244</v>
      </c>
      <c r="W29" s="267" t="s">
        <v>232</v>
      </c>
      <c r="X29" s="267" t="s">
        <v>218</v>
      </c>
    </row>
    <row r="30" spans="1:24" x14ac:dyDescent="0.2">
      <c r="A30" s="174" t="s">
        <v>120</v>
      </c>
      <c r="B30" s="190">
        <v>49</v>
      </c>
      <c r="C30" s="169"/>
      <c r="D30" s="169"/>
      <c r="E30" s="169">
        <f>C30+D30</f>
        <v>0</v>
      </c>
      <c r="F30" s="8"/>
      <c r="G30" s="169">
        <f>B30*C30</f>
        <v>0</v>
      </c>
      <c r="H30" s="169">
        <f>B30*D30</f>
        <v>0</v>
      </c>
      <c r="I30" s="169">
        <v>0</v>
      </c>
      <c r="J30" s="171">
        <f>SUM(G30:I30)</f>
        <v>0</v>
      </c>
      <c r="K30" s="275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</row>
    <row r="31" spans="1:24" x14ac:dyDescent="0.2">
      <c r="A31" s="174" t="s">
        <v>115</v>
      </c>
      <c r="B31" s="190">
        <v>49</v>
      </c>
      <c r="C31" s="169">
        <v>175</v>
      </c>
      <c r="D31" s="169"/>
      <c r="E31" s="169">
        <f t="shared" ref="E31:E37" si="9">C31+D31</f>
        <v>175</v>
      </c>
      <c r="F31" s="8"/>
      <c r="G31" s="169">
        <f t="shared" ref="G31:G37" si="10">B31*C31</f>
        <v>8575</v>
      </c>
      <c r="H31" s="169">
        <f t="shared" ref="H31:H37" si="11">B31*D31</f>
        <v>0</v>
      </c>
      <c r="I31" s="169">
        <f>G31*7.5%</f>
        <v>643.125</v>
      </c>
      <c r="J31" s="171">
        <f t="shared" ref="J31:J37" si="12">SUM(G31:I31)</f>
        <v>9218.125</v>
      </c>
      <c r="K31" s="275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</row>
    <row r="32" spans="1:24" x14ac:dyDescent="0.2">
      <c r="A32" s="174" t="s">
        <v>116</v>
      </c>
      <c r="B32" s="190">
        <v>1</v>
      </c>
      <c r="C32" s="169">
        <v>147</v>
      </c>
      <c r="D32" s="169"/>
      <c r="E32" s="169">
        <f t="shared" si="9"/>
        <v>147</v>
      </c>
      <c r="F32" s="8"/>
      <c r="G32" s="169">
        <f t="shared" si="10"/>
        <v>147</v>
      </c>
      <c r="H32" s="169">
        <f t="shared" si="11"/>
        <v>0</v>
      </c>
      <c r="I32" s="169">
        <v>0</v>
      </c>
      <c r="J32" s="171">
        <f t="shared" si="12"/>
        <v>147</v>
      </c>
      <c r="K32" s="275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</row>
    <row r="33" spans="1:24" ht="25.5" x14ac:dyDescent="0.2">
      <c r="A33" s="191" t="s">
        <v>132</v>
      </c>
      <c r="B33" s="190">
        <v>6</v>
      </c>
      <c r="C33" s="169">
        <v>109</v>
      </c>
      <c r="D33" s="169"/>
      <c r="E33" s="169">
        <f t="shared" si="9"/>
        <v>109</v>
      </c>
      <c r="F33" s="8"/>
      <c r="G33" s="169">
        <f t="shared" si="10"/>
        <v>654</v>
      </c>
      <c r="H33" s="169">
        <f t="shared" si="11"/>
        <v>0</v>
      </c>
      <c r="I33" s="169">
        <v>0</v>
      </c>
      <c r="J33" s="171">
        <f t="shared" si="12"/>
        <v>654</v>
      </c>
      <c r="K33" s="275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</row>
    <row r="34" spans="1:24" x14ac:dyDescent="0.2">
      <c r="A34" s="174" t="s">
        <v>133</v>
      </c>
      <c r="B34" s="190">
        <v>49</v>
      </c>
      <c r="C34" s="169">
        <v>92</v>
      </c>
      <c r="D34" s="169"/>
      <c r="E34" s="169">
        <f t="shared" si="9"/>
        <v>92</v>
      </c>
      <c r="F34" s="8"/>
      <c r="G34" s="169">
        <f t="shared" si="10"/>
        <v>4508</v>
      </c>
      <c r="H34" s="169">
        <f t="shared" si="11"/>
        <v>0</v>
      </c>
      <c r="I34" s="169">
        <v>0</v>
      </c>
      <c r="J34" s="171">
        <f t="shared" si="12"/>
        <v>4508</v>
      </c>
      <c r="K34" s="275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</row>
    <row r="35" spans="1:24" x14ac:dyDescent="0.2">
      <c r="A35" s="174" t="s">
        <v>134</v>
      </c>
      <c r="B35" s="190">
        <v>49</v>
      </c>
      <c r="C35" s="169">
        <v>2.99</v>
      </c>
      <c r="D35" s="169"/>
      <c r="E35" s="169">
        <f t="shared" ref="E35:E36" si="13">C35+D35</f>
        <v>2.99</v>
      </c>
      <c r="F35" s="8"/>
      <c r="G35" s="169">
        <f t="shared" ref="G35:G36" si="14">B35*C35</f>
        <v>146.51000000000002</v>
      </c>
      <c r="H35" s="169">
        <f t="shared" ref="H35:H36" si="15">B35*D35</f>
        <v>0</v>
      </c>
      <c r="I35" s="169">
        <v>0</v>
      </c>
      <c r="J35" s="171">
        <f t="shared" ref="J35" si="16">SUM(G35:I35)</f>
        <v>146.51000000000002</v>
      </c>
      <c r="K35" s="275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</row>
    <row r="36" spans="1:24" x14ac:dyDescent="0.2">
      <c r="A36" s="174" t="s">
        <v>137</v>
      </c>
      <c r="B36" s="190">
        <v>49</v>
      </c>
      <c r="C36" s="188">
        <v>0</v>
      </c>
      <c r="D36" s="188">
        <v>0</v>
      </c>
      <c r="E36" s="188">
        <f t="shared" si="13"/>
        <v>0</v>
      </c>
      <c r="F36" s="8"/>
      <c r="G36" s="188">
        <f t="shared" si="14"/>
        <v>0</v>
      </c>
      <c r="H36" s="188">
        <f t="shared" si="15"/>
        <v>0</v>
      </c>
      <c r="I36" s="188">
        <v>0</v>
      </c>
      <c r="J36" s="189">
        <f t="shared" ref="J36" si="17">SUM(G36:I36)</f>
        <v>0</v>
      </c>
      <c r="K36" s="278">
        <f t="shared" ref="K36:K37" si="18">(J36*26%)+J36</f>
        <v>0</v>
      </c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</row>
    <row r="37" spans="1:24" ht="13.5" thickBot="1" x14ac:dyDescent="0.25">
      <c r="A37" s="174" t="s">
        <v>117</v>
      </c>
      <c r="B37" s="190">
        <v>49</v>
      </c>
      <c r="C37" s="170"/>
      <c r="D37" s="170">
        <v>0</v>
      </c>
      <c r="E37" s="170">
        <f t="shared" si="9"/>
        <v>0</v>
      </c>
      <c r="F37" s="8"/>
      <c r="G37" s="170">
        <f t="shared" si="10"/>
        <v>0</v>
      </c>
      <c r="H37" s="170">
        <f t="shared" si="11"/>
        <v>0</v>
      </c>
      <c r="I37" s="170">
        <v>0</v>
      </c>
      <c r="J37" s="172">
        <f t="shared" si="12"/>
        <v>0</v>
      </c>
      <c r="K37" s="276">
        <f t="shared" si="18"/>
        <v>0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</row>
    <row r="38" spans="1:24" ht="14.25" thickTop="1" thickBot="1" x14ac:dyDescent="0.25">
      <c r="A38" s="174"/>
      <c r="B38" s="8"/>
      <c r="C38" s="32"/>
      <c r="D38" s="32"/>
      <c r="E38" s="201">
        <f>(E30+E31+E34+E35)+(E32/B31)+(E33*B33/B31)</f>
        <v>286.33693877551019</v>
      </c>
      <c r="F38" s="8"/>
      <c r="G38" s="30">
        <f>SUM(G30:G37)</f>
        <v>14030.51</v>
      </c>
      <c r="H38" s="32">
        <f t="shared" ref="H38:J38" si="19">SUM(H30:H37)</f>
        <v>0</v>
      </c>
      <c r="I38" s="32">
        <f t="shared" si="19"/>
        <v>643.125</v>
      </c>
      <c r="J38" s="175">
        <f t="shared" si="19"/>
        <v>14673.635</v>
      </c>
      <c r="K38" s="192">
        <f>SUM(K30:K37)</f>
        <v>0</v>
      </c>
      <c r="L38" s="293">
        <f>'Uti Rates &amp; Lighting Caps'!B4</f>
        <v>0.153</v>
      </c>
      <c r="M38" s="293">
        <f>'Uti Rates &amp; Lighting Caps'!C4</f>
        <v>0.52500000000000002</v>
      </c>
      <c r="N38" s="292">
        <v>172260</v>
      </c>
      <c r="O38" s="292">
        <v>6339</v>
      </c>
      <c r="P38" s="287">
        <f>(L38*N38)</f>
        <v>26355.78</v>
      </c>
      <c r="Q38" s="287">
        <f>M38*O38</f>
        <v>3327.9750000000004</v>
      </c>
      <c r="R38" s="290">
        <v>155034</v>
      </c>
      <c r="S38" s="290">
        <v>5705</v>
      </c>
      <c r="T38" s="288">
        <f>R38*L38</f>
        <v>23720.202000000001</v>
      </c>
      <c r="U38" s="286">
        <f>S38*M38</f>
        <v>2995.125</v>
      </c>
      <c r="V38" s="284">
        <f>N38-R38</f>
        <v>17226</v>
      </c>
      <c r="W38" s="284">
        <f>O38-S38</f>
        <v>634</v>
      </c>
      <c r="X38" s="285">
        <f>(P38+Q38)-(T38+U38)</f>
        <v>2968.4279999999962</v>
      </c>
    </row>
    <row r="39" spans="1:24" ht="13.5" thickBot="1" x14ac:dyDescent="0.25">
      <c r="A39" s="174"/>
      <c r="B39" s="8"/>
      <c r="C39" s="32"/>
      <c r="D39" s="32"/>
      <c r="E39" s="32"/>
      <c r="F39" s="8"/>
      <c r="G39" s="30"/>
      <c r="H39" s="203"/>
      <c r="I39" s="204" t="s">
        <v>145</v>
      </c>
      <c r="J39" s="205">
        <f>J38/B31</f>
        <v>299.46193877551019</v>
      </c>
      <c r="K39" s="192"/>
      <c r="L39" s="8"/>
      <c r="M39" s="8"/>
    </row>
    <row r="40" spans="1:24" x14ac:dyDescent="0.2">
      <c r="A40" s="174"/>
      <c r="B40" s="8"/>
      <c r="C40" s="32"/>
      <c r="D40" s="32"/>
      <c r="E40" s="32"/>
      <c r="F40" s="8"/>
      <c r="G40" s="30"/>
      <c r="H40" s="8"/>
      <c r="I40" s="8"/>
      <c r="J40" s="7"/>
      <c r="K40" s="32"/>
      <c r="L40" s="8"/>
      <c r="M40" s="8"/>
      <c r="O40" s="283" t="s">
        <v>234</v>
      </c>
      <c r="P40" s="282"/>
    </row>
    <row r="41" spans="1:24" x14ac:dyDescent="0.2">
      <c r="A41" s="174"/>
      <c r="B41" s="176"/>
      <c r="C41" s="32"/>
      <c r="D41" s="32"/>
      <c r="E41" s="32"/>
      <c r="F41" s="8"/>
      <c r="G41" s="30"/>
      <c r="H41" s="8"/>
      <c r="I41" s="8"/>
      <c r="J41" s="7"/>
      <c r="K41" s="281"/>
      <c r="L41" s="8"/>
      <c r="M41" s="8"/>
      <c r="O41" s="291" t="s">
        <v>270</v>
      </c>
      <c r="P41" s="289"/>
      <c r="Q41" s="289"/>
      <c r="R41" s="289"/>
    </row>
    <row r="42" spans="1:24" ht="9" customHeight="1" x14ac:dyDescent="0.2">
      <c r="A42" s="174"/>
      <c r="B42" s="8"/>
      <c r="C42" s="32"/>
      <c r="D42" s="32"/>
      <c r="E42" s="32"/>
      <c r="F42" s="8"/>
      <c r="G42" s="30"/>
      <c r="H42" s="8"/>
      <c r="I42" s="8"/>
      <c r="J42" s="7"/>
      <c r="K42" s="32"/>
      <c r="L42" s="8"/>
      <c r="M42" s="8"/>
      <c r="O42" s="295" t="s">
        <v>248</v>
      </c>
      <c r="P42" s="294"/>
    </row>
    <row r="43" spans="1:24" hidden="1" x14ac:dyDescent="0.2">
      <c r="A43" s="174"/>
      <c r="B43" s="8"/>
      <c r="C43" s="32"/>
      <c r="D43" s="32"/>
      <c r="E43" s="32"/>
      <c r="F43" s="8"/>
      <c r="G43" s="30"/>
      <c r="H43" s="8"/>
      <c r="I43" s="8"/>
      <c r="J43" s="7"/>
      <c r="K43" s="32">
        <f>K38+K41</f>
        <v>0</v>
      </c>
      <c r="L43" s="8"/>
      <c r="M43" s="8"/>
    </row>
    <row r="44" spans="1:24" hidden="1" x14ac:dyDescent="0.2">
      <c r="A44" s="174"/>
      <c r="B44" s="8"/>
      <c r="C44" s="32"/>
      <c r="D44" s="32"/>
      <c r="E44" s="32"/>
      <c r="F44" s="8"/>
      <c r="G44" s="30"/>
      <c r="H44" s="8"/>
      <c r="I44" s="8"/>
      <c r="J44" s="7"/>
      <c r="K44" s="32"/>
      <c r="L44" s="8"/>
      <c r="M44" s="8"/>
    </row>
    <row r="45" spans="1:24" hidden="1" x14ac:dyDescent="0.2">
      <c r="A45" s="174"/>
      <c r="B45" s="176"/>
      <c r="C45" s="32"/>
      <c r="D45" s="32"/>
      <c r="E45" s="32"/>
      <c r="F45" s="8"/>
      <c r="G45" s="30"/>
      <c r="H45" s="8"/>
      <c r="I45" s="8"/>
      <c r="J45" s="7"/>
      <c r="K45" s="281"/>
      <c r="L45" s="8"/>
      <c r="M45" s="8"/>
    </row>
    <row r="46" spans="1:24" x14ac:dyDescent="0.2">
      <c r="A46" s="174"/>
      <c r="B46" s="176"/>
      <c r="C46" s="32"/>
      <c r="D46" s="32"/>
      <c r="E46" s="32"/>
      <c r="F46" s="8"/>
      <c r="G46" s="30"/>
      <c r="H46" s="8"/>
      <c r="I46" s="8"/>
      <c r="J46" s="7"/>
      <c r="K46" s="32"/>
      <c r="L46" s="8"/>
      <c r="M46" s="8"/>
    </row>
    <row r="47" spans="1:24" x14ac:dyDescent="0.2">
      <c r="A47" s="174" t="s">
        <v>228</v>
      </c>
      <c r="B47" s="176"/>
      <c r="C47" s="32"/>
      <c r="D47" s="32"/>
      <c r="E47" s="32"/>
      <c r="F47" s="8"/>
      <c r="G47" s="30"/>
      <c r="H47" s="8"/>
      <c r="I47" s="8"/>
      <c r="J47" s="7"/>
      <c r="K47" s="32"/>
      <c r="L47" s="8"/>
      <c r="M47" s="8"/>
    </row>
    <row r="48" spans="1:24" x14ac:dyDescent="0.2">
      <c r="A48" s="174"/>
      <c r="B48" s="8"/>
      <c r="C48" s="32"/>
      <c r="D48" s="32"/>
      <c r="E48" s="32"/>
      <c r="F48" s="8"/>
      <c r="G48" s="30"/>
      <c r="H48" s="8"/>
      <c r="I48" s="8"/>
      <c r="J48" s="7"/>
      <c r="K48" s="32"/>
      <c r="L48" s="8"/>
      <c r="M48" s="8"/>
    </row>
    <row r="49" spans="1:24" x14ac:dyDescent="0.2">
      <c r="A49" s="177" t="s">
        <v>129</v>
      </c>
      <c r="B49" s="182"/>
      <c r="C49" s="182"/>
      <c r="D49" s="182"/>
      <c r="E49" s="182"/>
      <c r="F49" s="182"/>
      <c r="G49" s="182"/>
      <c r="H49" s="182"/>
      <c r="I49" s="182"/>
      <c r="J49" s="15"/>
      <c r="K49" s="192">
        <f>J38</f>
        <v>14673.635</v>
      </c>
      <c r="L49" s="8"/>
      <c r="M49" s="8"/>
    </row>
    <row r="50" spans="1:24" x14ac:dyDescent="0.2">
      <c r="A50" s="177" t="s">
        <v>135</v>
      </c>
      <c r="B50" s="8"/>
      <c r="C50" s="8"/>
      <c r="D50" s="8"/>
      <c r="E50" s="8"/>
      <c r="F50" s="8"/>
      <c r="G50" s="8"/>
      <c r="H50" s="8"/>
      <c r="I50" s="8"/>
      <c r="J50" s="7"/>
      <c r="K50" s="280">
        <f>K49/B31</f>
        <v>299.46193877551019</v>
      </c>
      <c r="L50" s="8"/>
      <c r="M50" s="8"/>
    </row>
    <row r="51" spans="1:24" x14ac:dyDescent="0.2">
      <c r="A51" s="8"/>
      <c r="B51" s="8"/>
      <c r="C51" s="8"/>
      <c r="D51" s="8"/>
      <c r="E51" s="8"/>
      <c r="F51" s="8"/>
      <c r="G51" s="8"/>
      <c r="H51" s="8"/>
      <c r="I51" s="8"/>
      <c r="J51" s="7"/>
      <c r="K51" s="8"/>
      <c r="L51" s="8"/>
      <c r="M51" s="8"/>
    </row>
    <row r="52" spans="1:24" x14ac:dyDescent="0.2">
      <c r="A52" s="8"/>
      <c r="B52" s="8"/>
      <c r="C52" s="8"/>
      <c r="D52" s="8"/>
      <c r="E52" s="8"/>
      <c r="F52" s="8"/>
      <c r="G52" s="8"/>
      <c r="H52" s="8"/>
      <c r="I52" s="8"/>
      <c r="J52" s="7"/>
      <c r="K52" s="8"/>
      <c r="L52" s="8"/>
      <c r="M52" s="8"/>
    </row>
    <row r="53" spans="1:24" ht="13.5" thickBot="1" x14ac:dyDescent="0.25">
      <c r="A53" s="8"/>
      <c r="B53" s="8"/>
      <c r="C53" s="8"/>
      <c r="D53" s="8"/>
      <c r="E53" s="8"/>
      <c r="F53" s="8"/>
      <c r="G53" s="8"/>
      <c r="H53" s="8"/>
      <c r="I53" s="8"/>
      <c r="J53" s="7"/>
      <c r="K53" s="8"/>
      <c r="L53" s="8"/>
      <c r="M53" s="8"/>
    </row>
    <row r="54" spans="1:24" ht="13.5" thickBot="1" x14ac:dyDescent="0.25">
      <c r="A54" s="174"/>
      <c r="B54" s="8"/>
      <c r="C54" s="877" t="s">
        <v>122</v>
      </c>
      <c r="D54" s="878"/>
      <c r="E54" s="879"/>
      <c r="F54" s="8"/>
      <c r="G54" s="877" t="s">
        <v>124</v>
      </c>
      <c r="H54" s="878"/>
      <c r="I54" s="878"/>
      <c r="J54" s="878"/>
      <c r="K54" s="878"/>
      <c r="L54" s="878"/>
      <c r="M54" s="878"/>
      <c r="N54" s="878"/>
      <c r="O54" s="878"/>
      <c r="P54" s="878"/>
      <c r="Q54" s="878"/>
      <c r="R54" s="878"/>
      <c r="S54" s="878"/>
      <c r="T54" s="878"/>
      <c r="U54" s="878"/>
      <c r="V54" s="878"/>
      <c r="W54" s="878"/>
      <c r="X54" s="879"/>
    </row>
    <row r="55" spans="1:24" ht="63.75" x14ac:dyDescent="0.2">
      <c r="A55" s="177" t="s">
        <v>125</v>
      </c>
      <c r="B55" s="277" t="s">
        <v>93</v>
      </c>
      <c r="C55" s="267" t="s">
        <v>118</v>
      </c>
      <c r="D55" s="267" t="s">
        <v>119</v>
      </c>
      <c r="E55" s="267" t="s">
        <v>121</v>
      </c>
      <c r="F55" s="193"/>
      <c r="G55" s="267" t="s">
        <v>118</v>
      </c>
      <c r="H55" s="267" t="s">
        <v>119</v>
      </c>
      <c r="I55" s="267" t="s">
        <v>136</v>
      </c>
      <c r="J55" s="267" t="s">
        <v>123</v>
      </c>
      <c r="K55" s="267"/>
      <c r="L55" s="267" t="s">
        <v>231</v>
      </c>
      <c r="M55" s="267" t="s">
        <v>230</v>
      </c>
      <c r="N55" s="267" t="s">
        <v>229</v>
      </c>
      <c r="O55" s="267" t="s">
        <v>233</v>
      </c>
      <c r="P55" s="267" t="s">
        <v>237</v>
      </c>
      <c r="Q55" s="267" t="s">
        <v>238</v>
      </c>
      <c r="R55" s="267" t="s">
        <v>235</v>
      </c>
      <c r="S55" s="267" t="s">
        <v>236</v>
      </c>
      <c r="T55" s="267" t="s">
        <v>239</v>
      </c>
      <c r="U55" s="267" t="s">
        <v>240</v>
      </c>
      <c r="V55" s="267" t="s">
        <v>244</v>
      </c>
      <c r="W55" s="267" t="s">
        <v>232</v>
      </c>
      <c r="X55" s="267" t="s">
        <v>218</v>
      </c>
    </row>
    <row r="56" spans="1:24" x14ac:dyDescent="0.2">
      <c r="A56" s="174" t="s">
        <v>120</v>
      </c>
      <c r="B56" s="160">
        <v>25</v>
      </c>
      <c r="C56" s="169"/>
      <c r="D56" s="169"/>
      <c r="E56" s="169">
        <f>C56+D56</f>
        <v>0</v>
      </c>
      <c r="F56" s="8"/>
      <c r="G56" s="169">
        <f>B56*C56</f>
        <v>0</v>
      </c>
      <c r="H56" s="169">
        <f>B56*D56</f>
        <v>0</v>
      </c>
      <c r="I56" s="169">
        <v>0</v>
      </c>
      <c r="J56" s="171">
        <f>SUM(G56:I56)</f>
        <v>0</v>
      </c>
      <c r="K56" s="275"/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</row>
    <row r="57" spans="1:24" x14ac:dyDescent="0.2">
      <c r="A57" s="174" t="s">
        <v>115</v>
      </c>
      <c r="B57" s="160">
        <v>25</v>
      </c>
      <c r="C57" s="169">
        <v>175</v>
      </c>
      <c r="D57" s="169"/>
      <c r="E57" s="169">
        <f t="shared" ref="E57:E63" si="20">C57+D57</f>
        <v>175</v>
      </c>
      <c r="F57" s="8"/>
      <c r="G57" s="169">
        <f t="shared" ref="G57:G63" si="21">B57*C57</f>
        <v>4375</v>
      </c>
      <c r="H57" s="169">
        <f t="shared" ref="H57:H63" si="22">B57*D57</f>
        <v>0</v>
      </c>
      <c r="I57" s="169">
        <f t="shared" ref="I57:I60" si="23">G57*7.5%</f>
        <v>328.125</v>
      </c>
      <c r="J57" s="171">
        <f t="shared" ref="J57:J63" si="24">SUM(G57:I57)</f>
        <v>4703.125</v>
      </c>
      <c r="K57" s="275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8"/>
    </row>
    <row r="58" spans="1:24" x14ac:dyDescent="0.2">
      <c r="A58" s="174" t="s">
        <v>116</v>
      </c>
      <c r="B58" s="160">
        <v>1</v>
      </c>
      <c r="C58" s="169">
        <v>147</v>
      </c>
      <c r="D58" s="169"/>
      <c r="E58" s="169">
        <f t="shared" si="20"/>
        <v>147</v>
      </c>
      <c r="F58" s="8"/>
      <c r="G58" s="169">
        <f t="shared" si="21"/>
        <v>147</v>
      </c>
      <c r="H58" s="169">
        <f t="shared" si="22"/>
        <v>0</v>
      </c>
      <c r="I58" s="169">
        <f t="shared" si="23"/>
        <v>11.025</v>
      </c>
      <c r="J58" s="171">
        <f t="shared" si="24"/>
        <v>158.02500000000001</v>
      </c>
      <c r="K58" s="275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</row>
    <row r="59" spans="1:24" ht="25.5" x14ac:dyDescent="0.2">
      <c r="A59" s="191" t="s">
        <v>132</v>
      </c>
      <c r="B59" s="160">
        <v>7</v>
      </c>
      <c r="C59" s="169">
        <v>109</v>
      </c>
      <c r="D59" s="169"/>
      <c r="E59" s="169">
        <f t="shared" si="20"/>
        <v>109</v>
      </c>
      <c r="F59" s="8"/>
      <c r="G59" s="169">
        <f t="shared" si="21"/>
        <v>763</v>
      </c>
      <c r="H59" s="169">
        <f t="shared" si="22"/>
        <v>0</v>
      </c>
      <c r="I59" s="169">
        <f t="shared" si="23"/>
        <v>57.225000000000001</v>
      </c>
      <c r="J59" s="171">
        <f t="shared" si="24"/>
        <v>820.22500000000002</v>
      </c>
      <c r="K59" s="275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</row>
    <row r="60" spans="1:24" x14ac:dyDescent="0.2">
      <c r="A60" s="174" t="s">
        <v>133</v>
      </c>
      <c r="B60" s="160">
        <v>25</v>
      </c>
      <c r="C60" s="169">
        <v>92</v>
      </c>
      <c r="D60" s="169"/>
      <c r="E60" s="169">
        <f t="shared" si="20"/>
        <v>92</v>
      </c>
      <c r="F60" s="8"/>
      <c r="G60" s="169">
        <f t="shared" si="21"/>
        <v>2300</v>
      </c>
      <c r="H60" s="169">
        <f t="shared" si="22"/>
        <v>0</v>
      </c>
      <c r="I60" s="169">
        <f t="shared" si="23"/>
        <v>172.5</v>
      </c>
      <c r="J60" s="171">
        <f t="shared" si="24"/>
        <v>2472.5</v>
      </c>
      <c r="K60" s="275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</row>
    <row r="61" spans="1:24" x14ac:dyDescent="0.2">
      <c r="A61" s="174" t="s">
        <v>134</v>
      </c>
      <c r="B61" s="160">
        <v>25</v>
      </c>
      <c r="C61" s="169">
        <v>2.99</v>
      </c>
      <c r="D61" s="169"/>
      <c r="E61" s="169">
        <f t="shared" si="20"/>
        <v>2.99</v>
      </c>
      <c r="F61" s="8"/>
      <c r="G61" s="169">
        <f t="shared" si="21"/>
        <v>74.75</v>
      </c>
      <c r="H61" s="169">
        <f t="shared" si="22"/>
        <v>0</v>
      </c>
      <c r="I61" s="169">
        <v>0</v>
      </c>
      <c r="J61" s="171">
        <f t="shared" si="24"/>
        <v>74.75</v>
      </c>
      <c r="K61" s="275"/>
      <c r="L61" s="198"/>
      <c r="M61" s="198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8"/>
    </row>
    <row r="62" spans="1:24" x14ac:dyDescent="0.2">
      <c r="A62" s="174" t="s">
        <v>137</v>
      </c>
      <c r="B62" s="160">
        <v>25</v>
      </c>
      <c r="C62" s="188">
        <v>0</v>
      </c>
      <c r="D62" s="188">
        <v>0</v>
      </c>
      <c r="E62" s="188">
        <f t="shared" si="20"/>
        <v>0</v>
      </c>
      <c r="F62" s="8"/>
      <c r="G62" s="188">
        <f t="shared" si="21"/>
        <v>0</v>
      </c>
      <c r="H62" s="188">
        <f t="shared" si="22"/>
        <v>0</v>
      </c>
      <c r="I62" s="188">
        <v>0</v>
      </c>
      <c r="J62" s="189">
        <f t="shared" ref="J62" si="25">SUM(G62:I62)</f>
        <v>0</v>
      </c>
      <c r="K62" s="278">
        <f t="shared" ref="K62:K63" si="26">(J62*26%)+J62</f>
        <v>0</v>
      </c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</row>
    <row r="63" spans="1:24" ht="13.5" thickBot="1" x14ac:dyDescent="0.25">
      <c r="A63" s="174" t="s">
        <v>117</v>
      </c>
      <c r="B63" s="160">
        <v>25</v>
      </c>
      <c r="C63" s="170"/>
      <c r="D63" s="170">
        <v>0</v>
      </c>
      <c r="E63" s="170">
        <f t="shared" si="20"/>
        <v>0</v>
      </c>
      <c r="F63" s="8"/>
      <c r="G63" s="170">
        <f t="shared" si="21"/>
        <v>0</v>
      </c>
      <c r="H63" s="170">
        <f t="shared" si="22"/>
        <v>0</v>
      </c>
      <c r="I63" s="170">
        <v>0</v>
      </c>
      <c r="J63" s="172">
        <f t="shared" si="24"/>
        <v>0</v>
      </c>
      <c r="K63" s="276">
        <f t="shared" si="26"/>
        <v>0</v>
      </c>
      <c r="L63" s="198"/>
      <c r="M63" s="198"/>
      <c r="N63" s="198"/>
      <c r="O63" s="198"/>
      <c r="P63" s="198"/>
      <c r="Q63" s="198"/>
      <c r="R63" s="198"/>
      <c r="S63" s="198"/>
      <c r="T63" s="198"/>
      <c r="U63" s="198"/>
      <c r="V63" s="198"/>
      <c r="W63" s="198"/>
      <c r="X63" s="198"/>
    </row>
    <row r="64" spans="1:24" ht="14.25" thickTop="1" thickBot="1" x14ac:dyDescent="0.25">
      <c r="A64" s="174"/>
      <c r="B64" s="8"/>
      <c r="C64" s="32"/>
      <c r="D64" s="32"/>
      <c r="E64" s="192">
        <f>(E56+E57+E60+E61)+(E58/B57)+(E59*B59/B57)</f>
        <v>306.39</v>
      </c>
      <c r="F64" s="8"/>
      <c r="G64" s="30">
        <f t="shared" ref="G64:J64" si="27">SUM(G56:G63)</f>
        <v>7659.75</v>
      </c>
      <c r="H64" s="32">
        <f t="shared" si="27"/>
        <v>0</v>
      </c>
      <c r="I64" s="29">
        <f t="shared" si="27"/>
        <v>568.875</v>
      </c>
      <c r="J64" s="175">
        <f t="shared" si="27"/>
        <v>8228.625</v>
      </c>
      <c r="K64" s="192">
        <f>SUM(K56:K63)</f>
        <v>0</v>
      </c>
      <c r="L64" s="293">
        <f>'Uti Rates &amp; Lighting Caps'!B5</f>
        <v>0.158</v>
      </c>
      <c r="M64" s="293">
        <f>'Uti Rates &amp; Lighting Caps'!C5</f>
        <v>0.443</v>
      </c>
      <c r="N64" s="292">
        <v>79442</v>
      </c>
      <c r="O64" s="292">
        <v>9007</v>
      </c>
      <c r="P64" s="287">
        <f>(L64*N64)</f>
        <v>12551.835999999999</v>
      </c>
      <c r="Q64" s="287">
        <f>M64*O64</f>
        <v>3990.1010000000001</v>
      </c>
      <c r="R64" s="290">
        <v>71498</v>
      </c>
      <c r="S64" s="290">
        <v>8106</v>
      </c>
      <c r="T64" s="288">
        <f>R64*L64</f>
        <v>11296.683999999999</v>
      </c>
      <c r="U64" s="286">
        <f>S64*M64</f>
        <v>3590.9580000000001</v>
      </c>
      <c r="V64" s="284">
        <f>N64-R64</f>
        <v>7944</v>
      </c>
      <c r="W64" s="284">
        <f>O64-S64</f>
        <v>901</v>
      </c>
      <c r="X64" s="285">
        <f>(P64+Q64)-(T64+U64)</f>
        <v>1654.2949999999983</v>
      </c>
    </row>
    <row r="65" spans="1:23" ht="13.5" thickBot="1" x14ac:dyDescent="0.25">
      <c r="A65" s="174"/>
      <c r="B65" s="8"/>
      <c r="C65" s="32"/>
      <c r="D65" s="32"/>
      <c r="E65" s="32"/>
      <c r="F65" s="8"/>
      <c r="G65" s="30"/>
      <c r="H65" s="203"/>
      <c r="I65" s="204" t="s">
        <v>145</v>
      </c>
      <c r="J65" s="205">
        <f>J64/B57</f>
        <v>329.14499999999998</v>
      </c>
      <c r="K65" s="192"/>
      <c r="L65" s="8"/>
      <c r="M65" s="8"/>
    </row>
    <row r="66" spans="1:23" x14ac:dyDescent="0.2">
      <c r="A66" s="174" t="s">
        <v>127</v>
      </c>
      <c r="B66" s="8"/>
      <c r="C66" s="8"/>
      <c r="D66" s="8"/>
      <c r="E66" s="8"/>
      <c r="F66" s="8"/>
      <c r="G66" s="8"/>
      <c r="H66" s="8"/>
      <c r="I66" s="8"/>
      <c r="J66" s="7"/>
      <c r="K66" s="8"/>
      <c r="L66" s="8"/>
      <c r="M66" s="8"/>
      <c r="O66" s="283" t="s">
        <v>234</v>
      </c>
      <c r="P66" s="282"/>
    </row>
    <row r="67" spans="1:23" x14ac:dyDescent="0.2">
      <c r="A67" s="174" t="s">
        <v>245</v>
      </c>
      <c r="B67" s="187">
        <v>0.1</v>
      </c>
      <c r="C67" s="8"/>
      <c r="D67" s="8"/>
      <c r="E67" s="8"/>
      <c r="F67" s="8"/>
      <c r="G67" s="8"/>
      <c r="H67" s="8"/>
      <c r="I67" s="8"/>
      <c r="J67" s="7"/>
      <c r="K67" s="31"/>
      <c r="L67" s="8"/>
      <c r="M67" s="8"/>
      <c r="O67" s="291" t="s">
        <v>270</v>
      </c>
      <c r="P67" s="289"/>
      <c r="Q67" s="289"/>
      <c r="R67" s="289"/>
    </row>
    <row r="68" spans="1:23" x14ac:dyDescent="0.2">
      <c r="A68" s="174"/>
      <c r="B68" s="8"/>
      <c r="C68" s="8"/>
      <c r="D68" s="8"/>
      <c r="E68" s="8"/>
      <c r="F68" s="8"/>
      <c r="G68" s="8"/>
      <c r="H68" s="8"/>
      <c r="I68" s="8"/>
      <c r="J68" s="7"/>
      <c r="K68" s="8"/>
      <c r="L68" s="8"/>
      <c r="M68" s="8"/>
      <c r="N68" s="8"/>
      <c r="O68" s="295" t="s">
        <v>248</v>
      </c>
      <c r="P68" s="395"/>
      <c r="Q68" s="8"/>
      <c r="R68" s="8"/>
      <c r="S68" s="8"/>
      <c r="T68" s="8"/>
      <c r="U68" s="8"/>
      <c r="V68" s="8"/>
      <c r="W68" s="8"/>
    </row>
    <row r="69" spans="1:23" x14ac:dyDescent="0.2">
      <c r="A69" s="174" t="s">
        <v>128</v>
      </c>
      <c r="B69" s="8"/>
      <c r="C69" s="8"/>
      <c r="D69" s="8"/>
      <c r="E69" s="8"/>
      <c r="F69" s="8"/>
      <c r="G69" s="8"/>
      <c r="H69" s="8"/>
      <c r="I69" s="8"/>
      <c r="J69" s="7"/>
      <c r="K69" s="31">
        <f>K64+K67</f>
        <v>0</v>
      </c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x14ac:dyDescent="0.2">
      <c r="A70" s="174"/>
      <c r="B70" s="8"/>
      <c r="C70" s="8"/>
      <c r="D70" s="8"/>
      <c r="E70" s="8"/>
      <c r="F70" s="8"/>
      <c r="G70" s="8"/>
      <c r="H70" s="8"/>
      <c r="I70" s="8"/>
      <c r="J70" s="7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x14ac:dyDescent="0.2">
      <c r="A71" s="174" t="s">
        <v>146</v>
      </c>
      <c r="B71" s="187">
        <v>0.1</v>
      </c>
      <c r="C71" s="8"/>
      <c r="D71" s="8"/>
      <c r="E71" s="8"/>
      <c r="F71" s="8"/>
      <c r="G71" s="8"/>
      <c r="H71" s="8"/>
      <c r="I71" s="8"/>
      <c r="J71" s="7"/>
      <c r="K71" s="31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x14ac:dyDescent="0.2">
      <c r="A72" s="174"/>
      <c r="B72" s="187"/>
      <c r="C72" s="8"/>
      <c r="D72" s="8"/>
      <c r="E72" s="8"/>
      <c r="F72" s="8"/>
      <c r="G72" s="8"/>
      <c r="H72" s="8"/>
      <c r="I72" s="8"/>
      <c r="J72" s="7"/>
      <c r="K72" s="31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x14ac:dyDescent="0.2">
      <c r="A73" s="174" t="s">
        <v>228</v>
      </c>
      <c r="B73" s="187"/>
      <c r="C73" s="8"/>
      <c r="D73" s="8"/>
      <c r="E73" s="8"/>
      <c r="F73" s="8"/>
      <c r="G73" s="8"/>
      <c r="H73" s="8"/>
      <c r="I73" s="8"/>
      <c r="J73" s="7"/>
      <c r="K73" s="31">
        <v>0</v>
      </c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x14ac:dyDescent="0.2">
      <c r="A74" s="174"/>
      <c r="B74" s="8"/>
      <c r="C74" s="8"/>
      <c r="D74" s="8"/>
      <c r="E74" s="8"/>
      <c r="F74" s="8"/>
      <c r="G74" s="8"/>
      <c r="H74" s="8"/>
      <c r="I74" s="8"/>
      <c r="J74" s="7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x14ac:dyDescent="0.2">
      <c r="A75" s="177" t="s">
        <v>129</v>
      </c>
      <c r="B75" s="8"/>
      <c r="C75" s="8"/>
      <c r="D75" s="8"/>
      <c r="E75" s="8"/>
      <c r="F75" s="8"/>
      <c r="G75" s="8"/>
      <c r="H75" s="8"/>
      <c r="I75" s="8"/>
      <c r="J75" s="7"/>
      <c r="K75" s="279">
        <f>J64</f>
        <v>8228.625</v>
      </c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x14ac:dyDescent="0.2">
      <c r="A76" s="177" t="s">
        <v>135</v>
      </c>
      <c r="B76" s="8"/>
      <c r="C76" s="8"/>
      <c r="D76" s="8"/>
      <c r="E76" s="8"/>
      <c r="F76" s="8"/>
      <c r="G76" s="8"/>
      <c r="H76" s="8"/>
      <c r="I76" s="8"/>
      <c r="J76" s="7"/>
      <c r="K76" s="280">
        <f>K75/B57</f>
        <v>329.14499999999998</v>
      </c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x14ac:dyDescent="0.2">
      <c r="A77" s="174"/>
      <c r="B77" s="8"/>
      <c r="C77" s="8"/>
      <c r="D77" s="8"/>
      <c r="E77" s="8"/>
      <c r="F77" s="8"/>
      <c r="G77" s="8"/>
      <c r="H77" s="8"/>
      <c r="I77" s="8"/>
      <c r="J77" s="7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x14ac:dyDescent="0.2">
      <c r="A78" s="8"/>
      <c r="B78" s="8"/>
      <c r="C78" s="8"/>
      <c r="D78" s="8"/>
      <c r="E78" s="8"/>
      <c r="F78" s="8"/>
      <c r="G78" s="8"/>
      <c r="H78" s="8"/>
      <c r="I78" s="8"/>
      <c r="J78" s="7"/>
      <c r="K78" s="8"/>
    </row>
    <row r="79" spans="1:23" x14ac:dyDescent="0.2">
      <c r="A79" s="35" t="s">
        <v>131</v>
      </c>
    </row>
    <row r="80" spans="1:23" x14ac:dyDescent="0.2">
      <c r="A80" s="158" t="s">
        <v>130</v>
      </c>
    </row>
    <row r="82" spans="1:1" x14ac:dyDescent="0.2">
      <c r="A82" s="158" t="s">
        <v>184</v>
      </c>
    </row>
  </sheetData>
  <mergeCells count="7">
    <mergeCell ref="A1:E1"/>
    <mergeCell ref="C2:E2"/>
    <mergeCell ref="C28:E28"/>
    <mergeCell ref="C54:E54"/>
    <mergeCell ref="G2:X2"/>
    <mergeCell ref="G28:X28"/>
    <mergeCell ref="G54:X54"/>
  </mergeCells>
  <pageMargins left="0.25" right="0.25" top="0.75" bottom="0.75" header="0.3" footer="0.3"/>
  <pageSetup paperSize="3" fitToHeight="0" orientation="landscape" r:id="rId1"/>
  <rowBreaks count="2" manualBreakCount="2">
    <brk id="26" max="16383" man="1"/>
    <brk id="52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2" sqref="M372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4"/>
  <sheetViews>
    <sheetView topLeftCell="A22" zoomScale="40" zoomScaleNormal="40" workbookViewId="0">
      <selection activeCell="B68" sqref="B68"/>
    </sheetView>
  </sheetViews>
  <sheetFormatPr defaultRowHeight="12.75" x14ac:dyDescent="0.2"/>
  <cols>
    <col min="1" max="1" width="9.140625" style="341"/>
    <col min="2" max="2" width="21.7109375" customWidth="1"/>
    <col min="3" max="6" width="11.5703125" hidden="1" customWidth="1"/>
    <col min="7" max="7" width="7.85546875" bestFit="1" customWidth="1"/>
    <col min="8" max="8" width="9" bestFit="1" customWidth="1"/>
    <col min="9" max="9" width="9.7109375" bestFit="1" customWidth="1"/>
    <col min="10" max="11" width="10.28515625" bestFit="1" customWidth="1"/>
    <col min="12" max="12" width="10.28515625" style="341" customWidth="1"/>
    <col min="13" max="13" width="11" customWidth="1"/>
    <col min="14" max="14" width="12" hidden="1" customWidth="1"/>
    <col min="15" max="15" width="8.5703125" hidden="1" customWidth="1"/>
    <col min="16" max="20" width="0" hidden="1" customWidth="1"/>
    <col min="23" max="23" width="32.5703125" bestFit="1" customWidth="1"/>
    <col min="27" max="27" width="10.28515625" bestFit="1" customWidth="1"/>
    <col min="28" max="32" width="0" hidden="1" customWidth="1"/>
    <col min="33" max="33" width="10.42578125" style="341" customWidth="1"/>
    <col min="35" max="35" width="10.140625" customWidth="1"/>
    <col min="37" max="37" width="2.28515625" customWidth="1"/>
    <col min="38" max="38" width="84.7109375" bestFit="1" customWidth="1"/>
  </cols>
  <sheetData>
    <row r="1" spans="1:38" ht="13.5" thickBot="1" x14ac:dyDescent="0.25">
      <c r="A1" s="158" t="s">
        <v>302</v>
      </c>
    </row>
    <row r="2" spans="1:38" ht="15.75" thickBot="1" x14ac:dyDescent="0.3">
      <c r="B2" s="882" t="s">
        <v>150</v>
      </c>
      <c r="C2" s="883"/>
      <c r="D2" s="883"/>
      <c r="E2" s="884"/>
      <c r="F2" s="885" t="s">
        <v>151</v>
      </c>
      <c r="G2" s="886"/>
      <c r="H2" s="886"/>
      <c r="I2" s="886"/>
      <c r="J2" s="886"/>
      <c r="K2" s="886"/>
      <c r="L2" s="886"/>
      <c r="M2" s="886"/>
      <c r="N2" s="886"/>
      <c r="O2" s="886"/>
      <c r="P2" s="886"/>
      <c r="Q2" s="886"/>
      <c r="R2" s="886"/>
      <c r="S2" s="886"/>
      <c r="T2" s="887"/>
      <c r="U2" s="888" t="s">
        <v>152</v>
      </c>
      <c r="V2" s="889"/>
      <c r="W2" s="889"/>
      <c r="X2" s="889"/>
      <c r="Y2" s="889"/>
      <c r="Z2" s="889"/>
      <c r="AA2" s="889"/>
      <c r="AB2" s="889"/>
      <c r="AC2" s="889"/>
      <c r="AD2" s="889"/>
      <c r="AE2" s="889"/>
      <c r="AF2" s="889"/>
      <c r="AG2" s="889"/>
      <c r="AH2" s="890"/>
      <c r="AI2" s="891" t="s">
        <v>153</v>
      </c>
      <c r="AJ2" s="892"/>
      <c r="AK2" s="358"/>
      <c r="AL2" s="206"/>
    </row>
    <row r="3" spans="1:38" s="27" customFormat="1" ht="75" x14ac:dyDescent="0.25">
      <c r="A3" s="340"/>
      <c r="B3" s="209" t="s">
        <v>124</v>
      </c>
      <c r="C3" s="210" t="s">
        <v>154</v>
      </c>
      <c r="D3" s="210" t="s">
        <v>155</v>
      </c>
      <c r="E3" s="211" t="s">
        <v>156</v>
      </c>
      <c r="F3" s="212" t="s">
        <v>157</v>
      </c>
      <c r="G3" s="213" t="s">
        <v>158</v>
      </c>
      <c r="H3" s="213" t="s">
        <v>159</v>
      </c>
      <c r="I3" s="213" t="s">
        <v>160</v>
      </c>
      <c r="J3" s="213" t="s">
        <v>161</v>
      </c>
      <c r="K3" s="213" t="s">
        <v>162</v>
      </c>
      <c r="L3" s="355" t="s">
        <v>307</v>
      </c>
      <c r="M3" s="214" t="s">
        <v>163</v>
      </c>
      <c r="N3" s="215" t="s">
        <v>164</v>
      </c>
      <c r="O3" s="216" t="s">
        <v>165</v>
      </c>
      <c r="P3" s="216" t="s">
        <v>166</v>
      </c>
      <c r="Q3" s="216" t="s">
        <v>167</v>
      </c>
      <c r="R3" s="216" t="s">
        <v>168</v>
      </c>
      <c r="S3" s="216" t="s">
        <v>169</v>
      </c>
      <c r="T3" s="217" t="s">
        <v>170</v>
      </c>
      <c r="U3" s="218" t="s">
        <v>171</v>
      </c>
      <c r="V3" s="219" t="s">
        <v>172</v>
      </c>
      <c r="W3" s="219" t="s">
        <v>149</v>
      </c>
      <c r="X3" s="219" t="s">
        <v>160</v>
      </c>
      <c r="Y3" s="219" t="s">
        <v>173</v>
      </c>
      <c r="Z3" s="219" t="s">
        <v>174</v>
      </c>
      <c r="AA3" s="220" t="s">
        <v>175</v>
      </c>
      <c r="AB3" s="220" t="s">
        <v>183</v>
      </c>
      <c r="AC3" s="220" t="s">
        <v>176</v>
      </c>
      <c r="AD3" s="219" t="s">
        <v>177</v>
      </c>
      <c r="AE3" s="219" t="s">
        <v>166</v>
      </c>
      <c r="AF3" s="219" t="s">
        <v>169</v>
      </c>
      <c r="AG3" s="356" t="s">
        <v>308</v>
      </c>
      <c r="AH3" s="221" t="s">
        <v>178</v>
      </c>
      <c r="AI3" s="316" t="s">
        <v>310</v>
      </c>
      <c r="AJ3" s="317" t="s">
        <v>26</v>
      </c>
      <c r="AK3" s="207"/>
      <c r="AL3" s="359" t="s">
        <v>179</v>
      </c>
    </row>
    <row r="4" spans="1:38" x14ac:dyDescent="0.2">
      <c r="A4" s="341" t="s">
        <v>297</v>
      </c>
      <c r="B4" s="197" t="s">
        <v>126</v>
      </c>
      <c r="C4" s="198"/>
      <c r="D4" s="198"/>
      <c r="E4" s="198"/>
      <c r="F4" s="198"/>
      <c r="G4" s="198">
        <v>2</v>
      </c>
      <c r="H4" s="337" t="s">
        <v>277</v>
      </c>
      <c r="I4" s="198" t="s">
        <v>180</v>
      </c>
      <c r="J4" s="198">
        <v>1</v>
      </c>
      <c r="K4" s="198">
        <v>458</v>
      </c>
      <c r="L4" s="198"/>
      <c r="M4" s="198">
        <f>K4*J4*G4</f>
        <v>916</v>
      </c>
      <c r="N4" s="198"/>
      <c r="O4" s="198"/>
      <c r="P4" s="198"/>
      <c r="Q4" s="198"/>
      <c r="R4" s="198"/>
      <c r="S4" s="198"/>
      <c r="T4" s="198"/>
      <c r="U4" s="198"/>
      <c r="V4" s="198">
        <f>G4</f>
        <v>2</v>
      </c>
      <c r="W4" s="198" t="s">
        <v>181</v>
      </c>
      <c r="X4" s="198" t="s">
        <v>182</v>
      </c>
      <c r="Y4" s="198">
        <v>148</v>
      </c>
      <c r="Z4" s="198">
        <f>V4*Y4</f>
        <v>296</v>
      </c>
      <c r="AA4" s="224">
        <v>1000</v>
      </c>
      <c r="AB4" s="198"/>
      <c r="AC4" s="198"/>
      <c r="AD4" s="198"/>
      <c r="AE4" s="198"/>
      <c r="AF4" s="198"/>
      <c r="AG4" s="198"/>
      <c r="AH4" s="198"/>
      <c r="AI4" s="360">
        <f>2873-(2873*12%)</f>
        <v>2528.2399999999998</v>
      </c>
      <c r="AJ4" s="352">
        <f>661-(661*12%)</f>
        <v>581.68000000000006</v>
      </c>
      <c r="AK4" s="315"/>
      <c r="AL4" s="198" t="s">
        <v>618</v>
      </c>
    </row>
    <row r="5" spans="1:38" s="8" customFormat="1" x14ac:dyDescent="0.2">
      <c r="B5" s="182"/>
      <c r="AA5" s="225"/>
      <c r="AI5" s="329"/>
      <c r="AJ5" s="241"/>
      <c r="AK5" s="315"/>
    </row>
    <row r="6" spans="1:38" ht="15" x14ac:dyDescent="0.25">
      <c r="A6" s="341" t="s">
        <v>297</v>
      </c>
      <c r="B6" s="197" t="s">
        <v>309</v>
      </c>
      <c r="C6" s="198"/>
      <c r="D6" s="198"/>
      <c r="E6" s="198"/>
      <c r="F6" s="198"/>
      <c r="G6" s="198">
        <v>1</v>
      </c>
      <c r="H6" s="222" t="s">
        <v>283</v>
      </c>
      <c r="I6" s="198" t="s">
        <v>185</v>
      </c>
      <c r="J6" s="198">
        <v>1</v>
      </c>
      <c r="K6" s="198">
        <v>50</v>
      </c>
      <c r="L6" s="223">
        <v>3650</v>
      </c>
      <c r="M6" s="198">
        <f t="shared" ref="M6:M11" si="0">K6*J6*G6</f>
        <v>50</v>
      </c>
      <c r="N6" s="198"/>
      <c r="O6" s="198"/>
      <c r="P6" s="198"/>
      <c r="Q6" s="198"/>
      <c r="R6" s="198"/>
      <c r="S6" s="198"/>
      <c r="T6" s="198"/>
      <c r="U6" s="198"/>
      <c r="V6" s="198">
        <f t="shared" ref="V6:V8" si="1">G6</f>
        <v>1</v>
      </c>
      <c r="W6" s="230" t="s">
        <v>192</v>
      </c>
      <c r="X6" s="198" t="s">
        <v>182</v>
      </c>
      <c r="Y6" s="198">
        <v>25</v>
      </c>
      <c r="Z6" s="198">
        <f t="shared" ref="Z6:Z11" si="2">V6*Y6</f>
        <v>25</v>
      </c>
      <c r="AA6" s="199">
        <v>367</v>
      </c>
      <c r="AB6" s="198"/>
      <c r="AC6" s="198"/>
      <c r="AD6" s="198"/>
      <c r="AE6" s="198"/>
      <c r="AF6" s="198"/>
      <c r="AG6" s="223">
        <v>1825</v>
      </c>
      <c r="AH6" s="198"/>
      <c r="AI6" s="200">
        <v>128</v>
      </c>
      <c r="AJ6" s="266">
        <f>AI6*'Uti Rates &amp; Lighting Caps'!B4</f>
        <v>19.584</v>
      </c>
      <c r="AK6" s="338"/>
      <c r="AL6" s="198" t="s">
        <v>620</v>
      </c>
    </row>
    <row r="7" spans="1:38" ht="15" x14ac:dyDescent="0.25">
      <c r="A7" s="341" t="s">
        <v>298</v>
      </c>
      <c r="B7" s="197" t="s">
        <v>95</v>
      </c>
      <c r="C7" s="198"/>
      <c r="D7" s="198"/>
      <c r="E7" s="198"/>
      <c r="F7" s="198"/>
      <c r="G7" s="198">
        <v>10</v>
      </c>
      <c r="H7" s="222" t="s">
        <v>191</v>
      </c>
      <c r="I7" s="198" t="s">
        <v>180</v>
      </c>
      <c r="J7" s="198">
        <v>1</v>
      </c>
      <c r="K7" s="198">
        <v>100</v>
      </c>
      <c r="L7" s="223">
        <v>3650</v>
      </c>
      <c r="M7" s="223">
        <f t="shared" si="0"/>
        <v>1000</v>
      </c>
      <c r="N7" s="198"/>
      <c r="O7" s="198"/>
      <c r="P7" s="198"/>
      <c r="Q7" s="198"/>
      <c r="R7" s="198"/>
      <c r="S7" s="198"/>
      <c r="T7" s="198"/>
      <c r="U7" s="198"/>
      <c r="V7" s="198">
        <f t="shared" si="1"/>
        <v>10</v>
      </c>
      <c r="W7" s="229" t="s">
        <v>190</v>
      </c>
      <c r="X7" s="198" t="s">
        <v>182</v>
      </c>
      <c r="Y7" s="198">
        <v>42</v>
      </c>
      <c r="Z7" s="198">
        <f t="shared" si="2"/>
        <v>420</v>
      </c>
      <c r="AA7" s="199">
        <v>419</v>
      </c>
      <c r="AB7" s="198"/>
      <c r="AC7" s="198"/>
      <c r="AD7" s="198"/>
      <c r="AE7" s="198"/>
      <c r="AF7" s="198"/>
      <c r="AG7" s="223">
        <v>1825</v>
      </c>
      <c r="AH7" s="198"/>
      <c r="AI7" s="360">
        <v>2774</v>
      </c>
      <c r="AJ7" s="352">
        <f>AI7*'Uti Rates &amp; Lighting Caps'!B4</f>
        <v>424.42199999999997</v>
      </c>
      <c r="AK7" s="320"/>
      <c r="AL7" s="198"/>
    </row>
    <row r="8" spans="1:38" x14ac:dyDescent="0.2">
      <c r="A8" s="341" t="s">
        <v>299</v>
      </c>
      <c r="B8" s="197" t="s">
        <v>95</v>
      </c>
      <c r="C8" s="198"/>
      <c r="D8" s="198"/>
      <c r="E8" s="198"/>
      <c r="F8" s="198"/>
      <c r="G8" s="198">
        <v>2</v>
      </c>
      <c r="H8" s="222" t="s">
        <v>193</v>
      </c>
      <c r="I8" s="198" t="s">
        <v>180</v>
      </c>
      <c r="J8" s="198">
        <v>1</v>
      </c>
      <c r="K8" s="198">
        <v>400</v>
      </c>
      <c r="L8" s="223">
        <v>3650</v>
      </c>
      <c r="M8" s="198">
        <f t="shared" si="0"/>
        <v>800</v>
      </c>
      <c r="N8" s="198"/>
      <c r="O8" s="198"/>
      <c r="P8" s="198"/>
      <c r="Q8" s="198"/>
      <c r="R8" s="198"/>
      <c r="S8" s="198"/>
      <c r="T8" s="198"/>
      <c r="U8" s="198"/>
      <c r="V8" s="198">
        <f t="shared" si="1"/>
        <v>2</v>
      </c>
      <c r="W8" s="198" t="s">
        <v>181</v>
      </c>
      <c r="X8" s="198" t="s">
        <v>182</v>
      </c>
      <c r="Y8" s="198">
        <v>148</v>
      </c>
      <c r="Z8" s="198">
        <f t="shared" si="2"/>
        <v>296</v>
      </c>
      <c r="AA8" s="199">
        <v>1000</v>
      </c>
      <c r="AB8" s="198"/>
      <c r="AC8" s="198"/>
      <c r="AD8" s="198"/>
      <c r="AE8" s="198"/>
      <c r="AF8" s="198"/>
      <c r="AG8" s="223">
        <v>1825</v>
      </c>
      <c r="AH8" s="198"/>
      <c r="AI8" s="200">
        <v>2263</v>
      </c>
      <c r="AJ8" s="352">
        <f>AI8*'Uti Rates &amp; Lighting Caps'!B4</f>
        <v>346.23899999999998</v>
      </c>
      <c r="AK8" s="320"/>
      <c r="AL8" s="198" t="s">
        <v>311</v>
      </c>
    </row>
    <row r="9" spans="1:38" s="8" customFormat="1" x14ac:dyDescent="0.2">
      <c r="B9" s="182"/>
      <c r="AA9" s="32"/>
      <c r="AI9" s="329"/>
      <c r="AJ9" s="241"/>
    </row>
    <row r="10" spans="1:38" ht="15" x14ac:dyDescent="0.25">
      <c r="A10" s="16" t="s">
        <v>297</v>
      </c>
      <c r="B10" s="197" t="s">
        <v>94</v>
      </c>
      <c r="C10" s="198"/>
      <c r="D10" s="198"/>
      <c r="E10" s="198"/>
      <c r="F10" s="198"/>
      <c r="G10" s="198">
        <v>20</v>
      </c>
      <c r="H10" s="222" t="s">
        <v>187</v>
      </c>
      <c r="I10" s="198" t="s">
        <v>185</v>
      </c>
      <c r="J10" s="198">
        <v>1</v>
      </c>
      <c r="K10" s="198">
        <v>100</v>
      </c>
      <c r="L10" s="223">
        <v>3650</v>
      </c>
      <c r="M10" s="223">
        <f t="shared" si="0"/>
        <v>2000</v>
      </c>
      <c r="N10" s="198"/>
      <c r="O10" s="198"/>
      <c r="P10" s="198"/>
      <c r="Q10" s="198"/>
      <c r="R10" s="198"/>
      <c r="S10" s="198"/>
      <c r="T10" s="198"/>
      <c r="U10" s="198"/>
      <c r="V10" s="198">
        <f>G10</f>
        <v>20</v>
      </c>
      <c r="W10" s="229" t="s">
        <v>190</v>
      </c>
      <c r="X10" s="198" t="s">
        <v>182</v>
      </c>
      <c r="Y10" s="198">
        <v>42</v>
      </c>
      <c r="Z10" s="198">
        <f t="shared" si="2"/>
        <v>840</v>
      </c>
      <c r="AA10" s="199">
        <v>419</v>
      </c>
      <c r="AB10" s="198"/>
      <c r="AC10" s="198"/>
      <c r="AD10" s="198"/>
      <c r="AE10" s="198"/>
      <c r="AF10" s="198"/>
      <c r="AG10" s="223">
        <v>1825</v>
      </c>
      <c r="AH10" s="198"/>
      <c r="AI10" s="200">
        <v>5329</v>
      </c>
      <c r="AJ10" s="352">
        <f>AI10*'Uti Rates &amp; Lighting Caps'!B5</f>
        <v>841.98199999999997</v>
      </c>
      <c r="AK10" s="320"/>
      <c r="AL10" s="198" t="s">
        <v>619</v>
      </c>
    </row>
    <row r="11" spans="1:38" ht="15" x14ac:dyDescent="0.25">
      <c r="A11" s="16" t="s">
        <v>298</v>
      </c>
      <c r="B11" s="208" t="s">
        <v>94</v>
      </c>
      <c r="C11" s="198"/>
      <c r="D11" s="198"/>
      <c r="E11" s="198"/>
      <c r="F11" s="198"/>
      <c r="G11" s="198">
        <v>8</v>
      </c>
      <c r="H11" s="222" t="s">
        <v>188</v>
      </c>
      <c r="I11" s="198" t="s">
        <v>180</v>
      </c>
      <c r="J11" s="198">
        <v>1</v>
      </c>
      <c r="K11" s="198">
        <v>150</v>
      </c>
      <c r="L11" s="223">
        <v>4380</v>
      </c>
      <c r="M11" s="223">
        <f t="shared" si="0"/>
        <v>1200</v>
      </c>
      <c r="N11" s="198"/>
      <c r="O11" s="198"/>
      <c r="P11" s="198"/>
      <c r="Q11" s="198"/>
      <c r="R11" s="198"/>
      <c r="S11" s="198"/>
      <c r="T11" s="198"/>
      <c r="U11" s="198"/>
      <c r="V11" s="198">
        <f>G11</f>
        <v>8</v>
      </c>
      <c r="W11" s="229" t="s">
        <v>190</v>
      </c>
      <c r="X11" s="198" t="s">
        <v>182</v>
      </c>
      <c r="Y11" s="198">
        <v>42</v>
      </c>
      <c r="Z11" s="198">
        <f t="shared" si="2"/>
        <v>336</v>
      </c>
      <c r="AA11" s="199">
        <v>675</v>
      </c>
      <c r="AB11" s="198"/>
      <c r="AC11" s="198"/>
      <c r="AD11" s="198"/>
      <c r="AE11" s="198"/>
      <c r="AF11" s="198"/>
      <c r="AG11" s="223">
        <v>2190</v>
      </c>
      <c r="AH11" s="198"/>
      <c r="AI11" s="200">
        <v>5011</v>
      </c>
      <c r="AJ11" s="352">
        <f>AI11*'Uti Rates &amp; Lighting Caps'!B5</f>
        <v>791.73800000000006</v>
      </c>
      <c r="AK11" s="320"/>
      <c r="AL11" s="198" t="s">
        <v>619</v>
      </c>
    </row>
    <row r="14" spans="1:38" x14ac:dyDescent="0.2">
      <c r="B14" s="158" t="s">
        <v>301</v>
      </c>
    </row>
    <row r="16" spans="1:38" ht="51" x14ac:dyDescent="0.2">
      <c r="B16" s="334" t="s">
        <v>124</v>
      </c>
      <c r="C16" s="334"/>
      <c r="D16" s="334"/>
      <c r="E16" s="334"/>
      <c r="F16" s="334"/>
      <c r="G16" s="335" t="s">
        <v>272</v>
      </c>
      <c r="H16" s="335" t="s">
        <v>273</v>
      </c>
      <c r="I16" s="335" t="s">
        <v>275</v>
      </c>
      <c r="J16" s="335" t="s">
        <v>274</v>
      </c>
      <c r="K16" s="335" t="s">
        <v>276</v>
      </c>
      <c r="L16" s="396"/>
    </row>
    <row r="17" spans="1:12" x14ac:dyDescent="0.2">
      <c r="A17" s="341" t="s">
        <v>298</v>
      </c>
      <c r="B17" s="208" t="s">
        <v>126</v>
      </c>
      <c r="G17" s="165">
        <v>6</v>
      </c>
      <c r="H17" s="273">
        <v>111</v>
      </c>
      <c r="I17" s="268">
        <v>181.75</v>
      </c>
      <c r="J17" s="333">
        <f>'Uti Rates &amp; Lighting Caps'!B3</f>
        <v>0.23</v>
      </c>
      <c r="K17" s="272">
        <f>I17/J17</f>
        <v>790.21739130434776</v>
      </c>
      <c r="L17" s="320"/>
    </row>
    <row r="18" spans="1:12" x14ac:dyDescent="0.2">
      <c r="B18" s="182"/>
      <c r="K18" s="331"/>
      <c r="L18" s="331"/>
    </row>
    <row r="19" spans="1:12" x14ac:dyDescent="0.2">
      <c r="A19" s="341" t="s">
        <v>300</v>
      </c>
      <c r="B19" s="197" t="s">
        <v>95</v>
      </c>
      <c r="G19" s="198">
        <v>13</v>
      </c>
      <c r="H19" s="274">
        <v>111</v>
      </c>
      <c r="I19" s="199">
        <v>202</v>
      </c>
      <c r="J19" s="313">
        <f>'Uti Rates &amp; Lighting Caps'!B4</f>
        <v>0.153</v>
      </c>
      <c r="K19" s="223">
        <f>I19/J19</f>
        <v>1320.2614379084966</v>
      </c>
      <c r="L19" s="320"/>
    </row>
    <row r="20" spans="1:12" s="8" customFormat="1" x14ac:dyDescent="0.2">
      <c r="B20" s="182"/>
      <c r="K20" s="320"/>
      <c r="L20" s="320"/>
    </row>
    <row r="21" spans="1:12" x14ac:dyDescent="0.2">
      <c r="A21" s="341" t="s">
        <v>299</v>
      </c>
      <c r="B21" s="197" t="s">
        <v>94</v>
      </c>
      <c r="G21" s="198">
        <v>28</v>
      </c>
      <c r="H21" s="274">
        <v>111</v>
      </c>
      <c r="I21" s="199">
        <v>393</v>
      </c>
      <c r="J21" s="313">
        <f>'Uti Rates &amp; Lighting Caps'!B5</f>
        <v>0.158</v>
      </c>
      <c r="K21" s="223">
        <f>I21/J21</f>
        <v>2487.3417721518986</v>
      </c>
      <c r="L21" s="320"/>
    </row>
    <row r="67" spans="2:23" x14ac:dyDescent="0.2">
      <c r="B67" s="158" t="s">
        <v>743</v>
      </c>
    </row>
    <row r="74" spans="2:23" x14ac:dyDescent="0.2">
      <c r="W74" s="158" t="s">
        <v>742</v>
      </c>
    </row>
  </sheetData>
  <mergeCells count="4">
    <mergeCell ref="B2:E2"/>
    <mergeCell ref="F2:T2"/>
    <mergeCell ref="U2:AH2"/>
    <mergeCell ref="AI2:AJ2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"/>
  <sheetViews>
    <sheetView workbookViewId="0">
      <selection activeCell="C19" sqref="C19"/>
    </sheetView>
  </sheetViews>
  <sheetFormatPr defaultRowHeight="12.75" x14ac:dyDescent="0.2"/>
  <sheetData>
    <row r="1" spans="1:37" ht="51.75" thickBot="1" x14ac:dyDescent="0.3">
      <c r="A1" s="398" t="s">
        <v>124</v>
      </c>
      <c r="B1" s="398" t="s">
        <v>327</v>
      </c>
      <c r="C1" s="398" t="s">
        <v>328</v>
      </c>
      <c r="D1" s="398" t="s">
        <v>329</v>
      </c>
      <c r="E1" s="398" t="s">
        <v>330</v>
      </c>
      <c r="F1" s="398" t="s">
        <v>331</v>
      </c>
      <c r="G1" s="398" t="s">
        <v>332</v>
      </c>
      <c r="H1" s="398" t="s">
        <v>333</v>
      </c>
      <c r="I1" s="398" t="s">
        <v>334</v>
      </c>
      <c r="J1" s="398" t="s">
        <v>335</v>
      </c>
      <c r="K1" s="398" t="s">
        <v>336</v>
      </c>
      <c r="L1" s="398" t="s">
        <v>337</v>
      </c>
      <c r="M1" s="398" t="s">
        <v>338</v>
      </c>
      <c r="N1" s="398" t="s">
        <v>339</v>
      </c>
      <c r="O1" s="398" t="s">
        <v>340</v>
      </c>
      <c r="P1" s="398" t="s">
        <v>341</v>
      </c>
      <c r="Q1" s="398" t="s">
        <v>342</v>
      </c>
      <c r="R1" s="398" t="s">
        <v>343</v>
      </c>
      <c r="S1" s="398" t="s">
        <v>344</v>
      </c>
      <c r="T1" s="398" t="s">
        <v>554</v>
      </c>
      <c r="U1" s="398" t="s">
        <v>346</v>
      </c>
      <c r="V1" s="398" t="s">
        <v>347</v>
      </c>
      <c r="W1" s="398" t="s">
        <v>348</v>
      </c>
      <c r="X1" s="398" t="s">
        <v>349</v>
      </c>
      <c r="Y1" s="398" t="s">
        <v>350</v>
      </c>
      <c r="Z1" s="398" t="s">
        <v>351</v>
      </c>
      <c r="AA1" s="398" t="s">
        <v>352</v>
      </c>
      <c r="AB1" s="398" t="s">
        <v>353</v>
      </c>
      <c r="AC1" s="398" t="s">
        <v>179</v>
      </c>
      <c r="AD1" s="398" t="s">
        <v>354</v>
      </c>
      <c r="AE1" s="398" t="s">
        <v>355</v>
      </c>
      <c r="AF1" s="398" t="s">
        <v>356</v>
      </c>
      <c r="AG1" s="398" t="s">
        <v>278</v>
      </c>
      <c r="AH1" s="398" t="s">
        <v>279</v>
      </c>
      <c r="AI1" s="398" t="s">
        <v>280</v>
      </c>
      <c r="AJ1" s="398" t="s">
        <v>281</v>
      </c>
      <c r="AK1" s="398" t="s">
        <v>282</v>
      </c>
    </row>
    <row r="2" spans="1:37" ht="13.5" thickTop="1" x14ac:dyDescent="0.2">
      <c r="A2" s="397" t="s">
        <v>574</v>
      </c>
      <c r="B2" s="397">
        <v>58</v>
      </c>
      <c r="C2" s="397">
        <v>58</v>
      </c>
      <c r="D2" s="397" t="s">
        <v>612</v>
      </c>
      <c r="E2" s="397" t="s">
        <v>612</v>
      </c>
      <c r="F2" s="397"/>
      <c r="G2" s="397" t="s">
        <v>503</v>
      </c>
      <c r="H2" s="397" t="s">
        <v>613</v>
      </c>
      <c r="I2" s="397" t="s">
        <v>614</v>
      </c>
      <c r="J2" s="397"/>
      <c r="K2" s="397">
        <v>2</v>
      </c>
      <c r="L2" s="397"/>
      <c r="M2" s="397"/>
      <c r="N2" s="397" t="s">
        <v>362</v>
      </c>
      <c r="O2" s="397" t="s">
        <v>362</v>
      </c>
      <c r="P2" s="397" t="s">
        <v>615</v>
      </c>
      <c r="Q2" s="397" t="s">
        <v>362</v>
      </c>
      <c r="R2" s="397">
        <v>2</v>
      </c>
      <c r="S2" s="397" t="s">
        <v>616</v>
      </c>
      <c r="T2" s="397" t="s">
        <v>362</v>
      </c>
      <c r="U2" s="397" t="s">
        <v>362</v>
      </c>
      <c r="V2" s="397" t="s">
        <v>362</v>
      </c>
      <c r="W2" s="406" t="s">
        <v>617</v>
      </c>
      <c r="X2" s="397">
        <v>2</v>
      </c>
      <c r="Y2" s="397"/>
      <c r="Z2" s="407"/>
      <c r="AA2" s="397"/>
      <c r="AB2" s="397"/>
      <c r="AC2" s="397"/>
      <c r="AD2" s="406" t="s">
        <v>474</v>
      </c>
      <c r="AE2" s="408" t="s">
        <v>105</v>
      </c>
      <c r="AF2" s="409">
        <v>458</v>
      </c>
      <c r="AG2" s="409">
        <v>130</v>
      </c>
      <c r="AH2" s="410">
        <v>4380</v>
      </c>
      <c r="AI2" s="410">
        <v>2873.28</v>
      </c>
      <c r="AJ2" s="410">
        <v>2190</v>
      </c>
      <c r="AK2" s="410">
        <v>569.4</v>
      </c>
    </row>
    <row r="5" spans="1:37" ht="51.75" thickBot="1" x14ac:dyDescent="0.3">
      <c r="A5" s="399" t="s">
        <v>124</v>
      </c>
      <c r="B5" s="399" t="s">
        <v>327</v>
      </c>
      <c r="C5" s="399" t="s">
        <v>328</v>
      </c>
      <c r="D5" s="399" t="s">
        <v>329</v>
      </c>
      <c r="E5" s="399" t="s">
        <v>330</v>
      </c>
      <c r="F5" s="399" t="s">
        <v>331</v>
      </c>
      <c r="G5" s="399" t="s">
        <v>332</v>
      </c>
      <c r="H5" s="399" t="s">
        <v>333</v>
      </c>
      <c r="I5" s="399" t="s">
        <v>334</v>
      </c>
      <c r="J5" s="399" t="s">
        <v>335</v>
      </c>
      <c r="K5" s="399" t="s">
        <v>336</v>
      </c>
      <c r="L5" s="399" t="s">
        <v>337</v>
      </c>
      <c r="M5" s="399" t="s">
        <v>338</v>
      </c>
      <c r="N5" s="399" t="s">
        <v>339</v>
      </c>
      <c r="O5" s="399" t="s">
        <v>340</v>
      </c>
      <c r="P5" s="399" t="s">
        <v>341</v>
      </c>
      <c r="Q5" s="399" t="s">
        <v>342</v>
      </c>
      <c r="R5" s="399" t="s">
        <v>343</v>
      </c>
      <c r="S5" s="399" t="s">
        <v>344</v>
      </c>
      <c r="T5" s="399" t="s">
        <v>345</v>
      </c>
      <c r="U5" s="399" t="s">
        <v>346</v>
      </c>
      <c r="V5" s="399" t="s">
        <v>347</v>
      </c>
      <c r="W5" s="399" t="s">
        <v>348</v>
      </c>
      <c r="X5" s="399" t="s">
        <v>349</v>
      </c>
      <c r="Y5" s="399" t="s">
        <v>350</v>
      </c>
      <c r="Z5" s="399" t="s">
        <v>351</v>
      </c>
      <c r="AA5" s="399" t="s">
        <v>352</v>
      </c>
      <c r="AB5" s="399" t="s">
        <v>353</v>
      </c>
      <c r="AC5" s="399" t="s">
        <v>179</v>
      </c>
      <c r="AD5" s="399" t="s">
        <v>354</v>
      </c>
      <c r="AE5" s="399" t="s">
        <v>355</v>
      </c>
      <c r="AF5" s="399" t="s">
        <v>356</v>
      </c>
      <c r="AG5" s="399" t="s">
        <v>278</v>
      </c>
      <c r="AH5" s="399" t="s">
        <v>279</v>
      </c>
      <c r="AI5" s="399" t="s">
        <v>280</v>
      </c>
      <c r="AJ5" s="399" t="s">
        <v>281</v>
      </c>
      <c r="AK5" s="399" t="s">
        <v>282</v>
      </c>
    </row>
    <row r="6" spans="1:37" ht="13.5" thickTop="1" x14ac:dyDescent="0.2">
      <c r="A6" s="397" t="s">
        <v>481</v>
      </c>
      <c r="B6" s="397">
        <v>78</v>
      </c>
      <c r="C6" s="397">
        <v>78</v>
      </c>
      <c r="D6" s="397" t="s">
        <v>503</v>
      </c>
      <c r="E6" s="397" t="s">
        <v>503</v>
      </c>
      <c r="F6" s="397"/>
      <c r="G6" s="397" t="s">
        <v>621</v>
      </c>
      <c r="H6" s="397" t="s">
        <v>622</v>
      </c>
      <c r="I6" s="397" t="s">
        <v>614</v>
      </c>
      <c r="J6" s="397"/>
      <c r="K6" s="397">
        <v>10</v>
      </c>
      <c r="L6" s="397"/>
      <c r="M6" s="397"/>
      <c r="N6" s="397" t="s">
        <v>362</v>
      </c>
      <c r="O6" s="397" t="s">
        <v>362</v>
      </c>
      <c r="P6" s="397" t="s">
        <v>623</v>
      </c>
      <c r="Q6" s="397" t="s">
        <v>362</v>
      </c>
      <c r="R6" s="397">
        <v>10</v>
      </c>
      <c r="S6" s="397" t="s">
        <v>624</v>
      </c>
      <c r="T6" s="397" t="s">
        <v>362</v>
      </c>
      <c r="U6" s="397" t="s">
        <v>362</v>
      </c>
      <c r="V6" s="397" t="s">
        <v>362</v>
      </c>
      <c r="W6" s="406" t="s">
        <v>68</v>
      </c>
      <c r="X6" s="397">
        <v>10</v>
      </c>
      <c r="Y6" s="397"/>
      <c r="Z6" s="407"/>
      <c r="AA6" s="397"/>
      <c r="AB6" s="397"/>
      <c r="AC6" s="397"/>
      <c r="AD6" s="406"/>
      <c r="AE6" s="408" t="s">
        <v>105</v>
      </c>
      <c r="AF6" s="409">
        <v>118</v>
      </c>
      <c r="AG6" s="409">
        <v>42</v>
      </c>
      <c r="AH6" s="410">
        <v>3650</v>
      </c>
      <c r="AI6" s="410">
        <v>2774</v>
      </c>
      <c r="AJ6" s="410">
        <v>1825</v>
      </c>
      <c r="AK6" s="410">
        <v>766.5</v>
      </c>
    </row>
    <row r="7" spans="1:37" x14ac:dyDescent="0.2">
      <c r="A7" s="400" t="s">
        <v>481</v>
      </c>
      <c r="B7" s="400">
        <v>91</v>
      </c>
      <c r="C7" s="400">
        <v>91</v>
      </c>
      <c r="D7" s="400" t="s">
        <v>503</v>
      </c>
      <c r="E7" s="400" t="s">
        <v>503</v>
      </c>
      <c r="F7" s="400"/>
      <c r="G7" s="400" t="s">
        <v>621</v>
      </c>
      <c r="H7" s="400" t="s">
        <v>613</v>
      </c>
      <c r="I7" s="400" t="s">
        <v>614</v>
      </c>
      <c r="J7" s="400"/>
      <c r="K7" s="400">
        <v>2</v>
      </c>
      <c r="L7" s="400"/>
      <c r="M7" s="400"/>
      <c r="N7" s="400" t="s">
        <v>362</v>
      </c>
      <c r="O7" s="400" t="s">
        <v>362</v>
      </c>
      <c r="P7" s="400" t="s">
        <v>625</v>
      </c>
      <c r="Q7" s="400" t="s">
        <v>362</v>
      </c>
      <c r="R7" s="400">
        <v>2</v>
      </c>
      <c r="S7" s="400" t="s">
        <v>626</v>
      </c>
      <c r="T7" s="400" t="s">
        <v>362</v>
      </c>
      <c r="U7" s="400" t="s">
        <v>362</v>
      </c>
      <c r="V7" s="400" t="s">
        <v>362</v>
      </c>
      <c r="W7" s="402" t="s">
        <v>68</v>
      </c>
      <c r="X7" s="400">
        <v>2</v>
      </c>
      <c r="Y7" s="400"/>
      <c r="Z7" s="401"/>
      <c r="AA7" s="400"/>
      <c r="AB7" s="400"/>
      <c r="AC7" s="400"/>
      <c r="AD7" s="402"/>
      <c r="AE7" s="403" t="s">
        <v>105</v>
      </c>
      <c r="AF7" s="404">
        <v>458</v>
      </c>
      <c r="AG7" s="404">
        <v>148</v>
      </c>
      <c r="AH7" s="405">
        <v>3650</v>
      </c>
      <c r="AI7" s="405">
        <v>2263</v>
      </c>
      <c r="AJ7" s="405">
        <v>1825</v>
      </c>
      <c r="AK7" s="405">
        <v>540.20000000000005</v>
      </c>
    </row>
    <row r="8" spans="1:37" x14ac:dyDescent="0.2">
      <c r="A8" s="400" t="s">
        <v>481</v>
      </c>
      <c r="B8" s="400">
        <v>93</v>
      </c>
      <c r="C8" s="400">
        <v>93</v>
      </c>
      <c r="D8" s="400" t="s">
        <v>473</v>
      </c>
      <c r="E8" s="400" t="s">
        <v>473</v>
      </c>
      <c r="F8" s="400"/>
      <c r="G8" s="400" t="s">
        <v>621</v>
      </c>
      <c r="H8" s="400" t="s">
        <v>627</v>
      </c>
      <c r="I8" s="400" t="s">
        <v>614</v>
      </c>
      <c r="J8" s="400"/>
      <c r="K8" s="400">
        <v>1</v>
      </c>
      <c r="L8" s="400"/>
      <c r="M8" s="400"/>
      <c r="N8" s="400" t="s">
        <v>362</v>
      </c>
      <c r="O8" s="400" t="s">
        <v>362</v>
      </c>
      <c r="P8" s="400" t="s">
        <v>628</v>
      </c>
      <c r="Q8" s="400" t="s">
        <v>362</v>
      </c>
      <c r="R8" s="400">
        <v>1</v>
      </c>
      <c r="S8" s="400" t="s">
        <v>629</v>
      </c>
      <c r="T8" s="400" t="s">
        <v>362</v>
      </c>
      <c r="U8" s="400" t="s">
        <v>362</v>
      </c>
      <c r="V8" s="400" t="s">
        <v>362</v>
      </c>
      <c r="W8" s="402" t="s">
        <v>68</v>
      </c>
      <c r="X8" s="400">
        <v>1</v>
      </c>
      <c r="Y8" s="400"/>
      <c r="Z8" s="401"/>
      <c r="AA8" s="400"/>
      <c r="AB8" s="400"/>
      <c r="AC8" s="400"/>
      <c r="AD8" s="402"/>
      <c r="AE8" s="403" t="s">
        <v>105</v>
      </c>
      <c r="AF8" s="404">
        <v>60</v>
      </c>
      <c r="AG8" s="404">
        <v>25</v>
      </c>
      <c r="AH8" s="405">
        <v>3650</v>
      </c>
      <c r="AI8" s="405">
        <v>127.75</v>
      </c>
      <c r="AJ8" s="405">
        <v>1825</v>
      </c>
      <c r="AK8" s="405">
        <v>45.625</v>
      </c>
    </row>
    <row r="11" spans="1:37" ht="51.75" thickBot="1" x14ac:dyDescent="0.3">
      <c r="A11" s="411" t="s">
        <v>124</v>
      </c>
      <c r="B11" s="411" t="s">
        <v>327</v>
      </c>
      <c r="C11" s="411" t="s">
        <v>328</v>
      </c>
      <c r="D11" s="411" t="s">
        <v>329</v>
      </c>
      <c r="E11" s="411" t="s">
        <v>330</v>
      </c>
      <c r="F11" s="411" t="s">
        <v>331</v>
      </c>
      <c r="G11" s="411" t="s">
        <v>332</v>
      </c>
      <c r="H11" s="411" t="s">
        <v>333</v>
      </c>
      <c r="I11" s="411" t="s">
        <v>334</v>
      </c>
      <c r="J11" s="411" t="s">
        <v>335</v>
      </c>
      <c r="K11" s="411" t="s">
        <v>336</v>
      </c>
      <c r="L11" s="411" t="s">
        <v>337</v>
      </c>
      <c r="M11" s="411" t="s">
        <v>338</v>
      </c>
      <c r="N11" s="411" t="s">
        <v>339</v>
      </c>
      <c r="O11" s="411" t="s">
        <v>340</v>
      </c>
      <c r="P11" s="411" t="s">
        <v>341</v>
      </c>
      <c r="Q11" s="411" t="s">
        <v>342</v>
      </c>
      <c r="R11" s="411" t="s">
        <v>343</v>
      </c>
      <c r="S11" s="411" t="s">
        <v>344</v>
      </c>
      <c r="T11" s="411" t="s">
        <v>482</v>
      </c>
      <c r="U11" s="411" t="s">
        <v>346</v>
      </c>
      <c r="V11" s="411" t="s">
        <v>347</v>
      </c>
      <c r="W11" s="411" t="s">
        <v>348</v>
      </c>
      <c r="X11" s="411" t="s">
        <v>349</v>
      </c>
      <c r="Y11" s="411" t="s">
        <v>350</v>
      </c>
      <c r="Z11" s="411" t="s">
        <v>351</v>
      </c>
      <c r="AA11" s="411" t="s">
        <v>352</v>
      </c>
      <c r="AB11" s="411" t="s">
        <v>353</v>
      </c>
      <c r="AC11" s="411" t="s">
        <v>179</v>
      </c>
      <c r="AD11" s="411" t="s">
        <v>354</v>
      </c>
      <c r="AE11" s="411" t="s">
        <v>355</v>
      </c>
      <c r="AF11" s="411" t="s">
        <v>356</v>
      </c>
      <c r="AG11" s="411" t="s">
        <v>278</v>
      </c>
      <c r="AH11" s="411" t="s">
        <v>279</v>
      </c>
      <c r="AI11" s="411" t="s">
        <v>280</v>
      </c>
      <c r="AJ11" s="411" t="s">
        <v>281</v>
      </c>
      <c r="AK11" s="411" t="s">
        <v>282</v>
      </c>
    </row>
    <row r="12" spans="1:37" ht="13.5" thickTop="1" x14ac:dyDescent="0.2">
      <c r="A12" s="412" t="s">
        <v>125</v>
      </c>
      <c r="B12" s="412">
        <v>19</v>
      </c>
      <c r="C12" s="412">
        <v>19</v>
      </c>
      <c r="D12" s="412" t="s">
        <v>503</v>
      </c>
      <c r="E12" s="412" t="s">
        <v>503</v>
      </c>
      <c r="F12" s="412"/>
      <c r="G12" s="412" t="s">
        <v>621</v>
      </c>
      <c r="H12" s="412" t="s">
        <v>630</v>
      </c>
      <c r="I12" s="412" t="s">
        <v>614</v>
      </c>
      <c r="J12" s="412"/>
      <c r="K12" s="412">
        <v>20</v>
      </c>
      <c r="L12" s="412"/>
      <c r="M12" s="412"/>
      <c r="N12" s="412" t="s">
        <v>362</v>
      </c>
      <c r="O12" s="412" t="s">
        <v>362</v>
      </c>
      <c r="P12" s="412" t="s">
        <v>623</v>
      </c>
      <c r="Q12" s="412" t="s">
        <v>362</v>
      </c>
      <c r="R12" s="412">
        <v>20</v>
      </c>
      <c r="S12" s="412" t="s">
        <v>631</v>
      </c>
      <c r="T12" s="412" t="s">
        <v>362</v>
      </c>
      <c r="U12" s="412" t="s">
        <v>362</v>
      </c>
      <c r="V12" s="412" t="s">
        <v>362</v>
      </c>
      <c r="W12" s="419" t="s">
        <v>617</v>
      </c>
      <c r="X12" s="418">
        <v>20</v>
      </c>
      <c r="Y12" s="418"/>
      <c r="Z12" s="413"/>
      <c r="AA12" s="412"/>
      <c r="AB12" s="412"/>
      <c r="AC12" s="412"/>
      <c r="AD12" s="414"/>
      <c r="AE12" s="415" t="s">
        <v>105</v>
      </c>
      <c r="AF12" s="416">
        <v>115</v>
      </c>
      <c r="AG12" s="416">
        <v>42</v>
      </c>
      <c r="AH12" s="417">
        <v>3650</v>
      </c>
      <c r="AI12" s="417">
        <v>5329</v>
      </c>
      <c r="AJ12" s="417">
        <v>1825</v>
      </c>
      <c r="AK12" s="417">
        <v>1533</v>
      </c>
    </row>
    <row r="13" spans="1:37" x14ac:dyDescent="0.2">
      <c r="A13" s="412" t="s">
        <v>125</v>
      </c>
      <c r="B13" s="412">
        <v>35</v>
      </c>
      <c r="C13" s="412">
        <v>35</v>
      </c>
      <c r="D13" s="412" t="s">
        <v>503</v>
      </c>
      <c r="E13" s="412" t="s">
        <v>503</v>
      </c>
      <c r="F13" s="412"/>
      <c r="G13" s="412" t="s">
        <v>503</v>
      </c>
      <c r="H13" s="412" t="s">
        <v>632</v>
      </c>
      <c r="I13" s="412"/>
      <c r="J13" s="412"/>
      <c r="K13" s="412">
        <v>8</v>
      </c>
      <c r="L13" s="412"/>
      <c r="M13" s="412"/>
      <c r="N13" s="412" t="s">
        <v>362</v>
      </c>
      <c r="O13" s="412" t="s">
        <v>362</v>
      </c>
      <c r="P13" s="412" t="s">
        <v>623</v>
      </c>
      <c r="Q13" s="412" t="s">
        <v>362</v>
      </c>
      <c r="R13" s="412">
        <v>8</v>
      </c>
      <c r="S13" s="412" t="s">
        <v>633</v>
      </c>
      <c r="T13" s="412" t="s">
        <v>362</v>
      </c>
      <c r="U13" s="412" t="s">
        <v>362</v>
      </c>
      <c r="V13" s="412" t="s">
        <v>362</v>
      </c>
      <c r="W13" s="419" t="s">
        <v>617</v>
      </c>
      <c r="X13" s="418">
        <v>8</v>
      </c>
      <c r="Y13" s="418"/>
      <c r="Z13" s="413"/>
      <c r="AA13" s="412"/>
      <c r="AB13" s="412"/>
      <c r="AC13" s="412"/>
      <c r="AD13" s="414"/>
      <c r="AE13" s="415" t="s">
        <v>105</v>
      </c>
      <c r="AF13" s="416">
        <v>185</v>
      </c>
      <c r="AG13" s="416">
        <v>42</v>
      </c>
      <c r="AH13" s="417">
        <v>4380</v>
      </c>
      <c r="AI13" s="417">
        <v>5010.72</v>
      </c>
      <c r="AJ13" s="417">
        <v>2190</v>
      </c>
      <c r="AK13" s="417">
        <v>735.84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"/>
  <sheetViews>
    <sheetView zoomScale="80" zoomScaleNormal="80" workbookViewId="0">
      <pane ySplit="5" topLeftCell="A93" activePane="bottomLeft" state="frozen"/>
      <selection pane="bottomLeft" activeCell="L19" sqref="L19"/>
    </sheetView>
  </sheetViews>
  <sheetFormatPr defaultRowHeight="12.75" x14ac:dyDescent="0.2"/>
  <cols>
    <col min="1" max="1" width="38.85546875" customWidth="1"/>
    <col min="8" max="9" width="12.140625" bestFit="1" customWidth="1"/>
    <col min="10" max="10" width="13.7109375" bestFit="1" customWidth="1"/>
    <col min="11" max="11" width="4.7109375" style="12" customWidth="1"/>
    <col min="12" max="12" width="28.7109375" bestFit="1" customWidth="1"/>
    <col min="20" max="20" width="11.28515625" bestFit="1" customWidth="1"/>
  </cols>
  <sheetData>
    <row r="1" spans="1:12" ht="19.5" thickBot="1" x14ac:dyDescent="0.35">
      <c r="A1" s="351" t="s">
        <v>306</v>
      </c>
      <c r="B1" s="351"/>
      <c r="C1" s="351"/>
      <c r="D1" s="351"/>
      <c r="E1" s="351"/>
      <c r="F1" s="351"/>
      <c r="G1" s="247"/>
      <c r="H1" s="248"/>
      <c r="I1" s="248"/>
      <c r="J1" s="248"/>
      <c r="K1" s="254"/>
      <c r="L1" s="248"/>
    </row>
    <row r="2" spans="1:12" ht="99.75" customHeight="1" thickBot="1" x14ac:dyDescent="0.35">
      <c r="A2" s="249" t="s">
        <v>199</v>
      </c>
      <c r="B2" s="250"/>
      <c r="C2" s="250"/>
      <c r="D2" s="250"/>
      <c r="E2" s="250"/>
      <c r="F2" s="250"/>
      <c r="G2" s="247"/>
      <c r="H2" s="893" t="s">
        <v>126</v>
      </c>
      <c r="I2" s="895" t="s">
        <v>95</v>
      </c>
      <c r="J2" s="897" t="s">
        <v>94</v>
      </c>
      <c r="K2" s="258"/>
      <c r="L2" s="251"/>
    </row>
    <row r="3" spans="1:12" ht="17.25" thickBot="1" x14ac:dyDescent="0.35">
      <c r="A3" s="296" t="s">
        <v>205</v>
      </c>
      <c r="B3" s="297" t="s">
        <v>200</v>
      </c>
      <c r="C3" s="297" t="s">
        <v>201</v>
      </c>
      <c r="D3" s="297" t="s">
        <v>202</v>
      </c>
      <c r="E3" s="297" t="s">
        <v>203</v>
      </c>
      <c r="F3" s="298" t="s">
        <v>204</v>
      </c>
      <c r="G3" s="252"/>
      <c r="H3" s="894"/>
      <c r="I3" s="896"/>
      <c r="J3" s="898"/>
      <c r="K3" s="258"/>
      <c r="L3" s="265" t="s">
        <v>179</v>
      </c>
    </row>
    <row r="4" spans="1:12" ht="16.5" x14ac:dyDescent="0.3">
      <c r="A4" s="246" t="s">
        <v>210</v>
      </c>
      <c r="B4" s="255">
        <v>32</v>
      </c>
      <c r="C4" s="255">
        <v>2</v>
      </c>
      <c r="D4" s="255"/>
      <c r="E4" s="255"/>
      <c r="F4" s="255"/>
      <c r="G4" s="247"/>
      <c r="H4" s="256">
        <v>1354</v>
      </c>
      <c r="I4" s="256">
        <v>1508</v>
      </c>
      <c r="J4" s="256">
        <v>1416</v>
      </c>
      <c r="K4" s="259"/>
      <c r="L4" s="253"/>
    </row>
    <row r="5" spans="1:12" s="341" customFormat="1" ht="16.5" x14ac:dyDescent="0.3">
      <c r="A5" s="246" t="s">
        <v>319</v>
      </c>
      <c r="B5" s="255">
        <v>32</v>
      </c>
      <c r="C5" s="255">
        <v>1</v>
      </c>
      <c r="D5" s="255"/>
      <c r="E5" s="255"/>
      <c r="F5" s="255"/>
      <c r="G5" s="247"/>
      <c r="H5" s="256">
        <v>0</v>
      </c>
      <c r="I5" s="256">
        <v>20</v>
      </c>
      <c r="J5" s="256">
        <v>0</v>
      </c>
      <c r="K5" s="259"/>
      <c r="L5" s="253"/>
    </row>
    <row r="6" spans="1:12" ht="13.5" thickBot="1" x14ac:dyDescent="0.25"/>
    <row r="7" spans="1:12" x14ac:dyDescent="0.2">
      <c r="A7" s="245"/>
      <c r="B7" s="173"/>
      <c r="C7" s="173"/>
      <c r="D7" s="173"/>
      <c r="E7" s="173"/>
      <c r="F7" s="173"/>
      <c r="G7" s="173"/>
      <c r="H7" s="244"/>
      <c r="I7" s="244"/>
      <c r="J7" s="244"/>
      <c r="K7" s="48"/>
      <c r="L7" s="186"/>
    </row>
    <row r="8" spans="1:12" ht="13.5" thickBot="1" x14ac:dyDescent="0.25">
      <c r="A8" s="303" t="s">
        <v>634</v>
      </c>
      <c r="B8" s="8"/>
      <c r="C8" s="8"/>
      <c r="D8" s="8"/>
      <c r="E8" s="8"/>
      <c r="F8" s="8"/>
      <c r="G8" s="8"/>
      <c r="H8" s="329"/>
      <c r="I8" s="329"/>
      <c r="J8" s="329"/>
      <c r="K8" s="85"/>
      <c r="L8" s="183"/>
    </row>
    <row r="9" spans="1:12" x14ac:dyDescent="0.2">
      <c r="A9" s="245" t="s">
        <v>206</v>
      </c>
      <c r="B9" s="173"/>
      <c r="C9" s="173"/>
      <c r="D9" s="173"/>
      <c r="E9" s="173"/>
      <c r="F9" s="173"/>
      <c r="G9" s="173"/>
      <c r="H9" s="244" t="s">
        <v>265</v>
      </c>
      <c r="I9" s="244" t="s">
        <v>265</v>
      </c>
      <c r="J9" s="243" t="s">
        <v>265</v>
      </c>
      <c r="K9" s="85"/>
      <c r="L9" s="183"/>
    </row>
    <row r="10" spans="1:12" x14ac:dyDescent="0.2">
      <c r="A10" s="177" t="s">
        <v>200</v>
      </c>
      <c r="B10" s="8"/>
      <c r="C10" s="8"/>
      <c r="D10" s="8"/>
      <c r="E10" s="8"/>
      <c r="F10" s="8"/>
      <c r="G10" s="8"/>
      <c r="H10" s="329">
        <v>14</v>
      </c>
      <c r="I10" s="329">
        <v>14</v>
      </c>
      <c r="J10" s="242">
        <v>14</v>
      </c>
      <c r="K10" s="85"/>
      <c r="L10" s="183"/>
    </row>
    <row r="11" spans="1:12" ht="51" x14ac:dyDescent="0.2">
      <c r="A11" s="177" t="s">
        <v>213</v>
      </c>
      <c r="B11" s="8"/>
      <c r="C11" s="8"/>
      <c r="D11" s="8"/>
      <c r="E11" s="8"/>
      <c r="F11" s="8"/>
      <c r="G11" s="8"/>
      <c r="H11" s="238">
        <v>1354</v>
      </c>
      <c r="I11" s="238">
        <v>1508</v>
      </c>
      <c r="J11" s="237">
        <v>1416</v>
      </c>
      <c r="K11" s="260"/>
      <c r="L11" s="431" t="s">
        <v>314</v>
      </c>
    </row>
    <row r="12" spans="1:12" x14ac:dyDescent="0.2">
      <c r="A12" s="177" t="s">
        <v>207</v>
      </c>
      <c r="B12" s="8"/>
      <c r="C12" s="8"/>
      <c r="D12" s="8"/>
      <c r="E12" s="8"/>
      <c r="F12" s="8"/>
      <c r="G12" s="8"/>
      <c r="H12" s="85"/>
      <c r="I12" s="85"/>
      <c r="J12" s="87"/>
      <c r="K12" s="85"/>
      <c r="L12" s="183"/>
    </row>
    <row r="13" spans="1:12" x14ac:dyDescent="0.2">
      <c r="A13" s="177" t="s">
        <v>208</v>
      </c>
      <c r="B13" s="8"/>
      <c r="C13" s="8"/>
      <c r="D13" s="8"/>
      <c r="E13" s="8"/>
      <c r="F13" s="8"/>
      <c r="G13" s="8"/>
      <c r="H13" s="361">
        <v>61139</v>
      </c>
      <c r="I13" s="361">
        <v>81093</v>
      </c>
      <c r="J13" s="362">
        <v>56606</v>
      </c>
      <c r="K13" s="85"/>
      <c r="L13" s="183" t="s">
        <v>313</v>
      </c>
    </row>
    <row r="14" spans="1:12" x14ac:dyDescent="0.2">
      <c r="A14" s="177" t="s">
        <v>209</v>
      </c>
      <c r="B14" s="8"/>
      <c r="C14" s="8"/>
      <c r="D14" s="8"/>
      <c r="E14" s="8"/>
      <c r="F14" s="8"/>
      <c r="G14" s="8"/>
      <c r="H14" s="235">
        <f>'Uti Rates &amp; Lighting Caps'!B3</f>
        <v>0.23</v>
      </c>
      <c r="I14" s="235">
        <f>'Uti Rates &amp; Lighting Caps'!B4</f>
        <v>0.153</v>
      </c>
      <c r="J14" s="234">
        <f>'Uti Rates &amp; Lighting Caps'!B5</f>
        <v>0.158</v>
      </c>
      <c r="K14" s="262"/>
      <c r="L14" s="183"/>
    </row>
    <row r="15" spans="1:12" x14ac:dyDescent="0.2">
      <c r="A15" s="177" t="s">
        <v>135</v>
      </c>
      <c r="B15" s="8"/>
      <c r="C15" s="8"/>
      <c r="D15" s="8"/>
      <c r="E15" s="8"/>
      <c r="F15" s="8"/>
      <c r="G15" s="8"/>
      <c r="H15" s="241">
        <v>17.75</v>
      </c>
      <c r="I15" s="241">
        <v>17.75</v>
      </c>
      <c r="J15" s="240">
        <v>17.75</v>
      </c>
      <c r="K15" s="263"/>
      <c r="L15" s="183"/>
    </row>
    <row r="16" spans="1:12" x14ac:dyDescent="0.2">
      <c r="A16" s="177" t="s">
        <v>211</v>
      </c>
      <c r="B16" s="8"/>
      <c r="C16" s="8"/>
      <c r="D16" s="8"/>
      <c r="E16" s="8"/>
      <c r="F16" s="8"/>
      <c r="G16" s="8"/>
      <c r="H16" s="241" t="s">
        <v>220</v>
      </c>
      <c r="I16" s="241" t="s">
        <v>220</v>
      </c>
      <c r="J16" s="240" t="s">
        <v>220</v>
      </c>
      <c r="K16" s="263"/>
      <c r="L16" s="183"/>
    </row>
    <row r="17" spans="1:12" x14ac:dyDescent="0.2">
      <c r="A17" s="177" t="s">
        <v>218</v>
      </c>
      <c r="B17" s="8"/>
      <c r="C17" s="8"/>
      <c r="D17" s="8"/>
      <c r="E17" s="8"/>
      <c r="F17" s="8"/>
      <c r="G17" s="8"/>
      <c r="H17" s="263">
        <f t="shared" ref="H17:I17" si="0">H13*H14</f>
        <v>14061.970000000001</v>
      </c>
      <c r="I17" s="263">
        <f t="shared" si="0"/>
        <v>12407.228999999999</v>
      </c>
      <c r="J17" s="299">
        <f>J13*J14</f>
        <v>8943.7479999999996</v>
      </c>
      <c r="K17" s="261"/>
      <c r="L17" s="183"/>
    </row>
    <row r="18" spans="1:12" x14ac:dyDescent="0.2">
      <c r="A18" s="177" t="s">
        <v>215</v>
      </c>
      <c r="B18" s="8"/>
      <c r="C18" s="8"/>
      <c r="D18" s="8"/>
      <c r="E18" s="8"/>
      <c r="F18" s="8"/>
      <c r="G18" s="8"/>
      <c r="H18" s="263">
        <v>0</v>
      </c>
      <c r="I18" s="263">
        <v>0</v>
      </c>
      <c r="J18" s="299">
        <v>0</v>
      </c>
      <c r="K18" s="85"/>
      <c r="L18" s="183"/>
    </row>
    <row r="19" spans="1:12" x14ac:dyDescent="0.2">
      <c r="A19" s="177" t="s">
        <v>216</v>
      </c>
      <c r="B19" s="8"/>
      <c r="C19" s="8"/>
      <c r="D19" s="8"/>
      <c r="E19" s="8"/>
      <c r="F19" s="8"/>
      <c r="G19" s="8"/>
      <c r="H19" s="263">
        <v>0</v>
      </c>
      <c r="I19" s="263">
        <v>0</v>
      </c>
      <c r="J19" s="299">
        <v>0</v>
      </c>
      <c r="K19" s="85"/>
      <c r="L19" s="183" t="s">
        <v>312</v>
      </c>
    </row>
    <row r="20" spans="1:12" ht="13.5" thickBot="1" x14ac:dyDescent="0.25">
      <c r="A20" s="178" t="s">
        <v>9</v>
      </c>
      <c r="B20" s="179"/>
      <c r="C20" s="179"/>
      <c r="D20" s="179"/>
      <c r="E20" s="179"/>
      <c r="F20" s="179"/>
      <c r="G20" s="179"/>
      <c r="H20" s="347"/>
      <c r="I20" s="347"/>
      <c r="J20" s="348"/>
      <c r="K20" s="85"/>
      <c r="L20" s="183"/>
    </row>
    <row r="21" spans="1:12" x14ac:dyDescent="0.2">
      <c r="A21" s="177"/>
      <c r="B21" s="8"/>
      <c r="C21" s="8"/>
      <c r="D21" s="8"/>
      <c r="E21" s="8"/>
      <c r="F21" s="8"/>
      <c r="G21" s="8"/>
      <c r="H21" s="329"/>
      <c r="I21" s="329"/>
      <c r="J21" s="329"/>
      <c r="K21" s="85"/>
      <c r="L21" s="183"/>
    </row>
    <row r="22" spans="1:12" ht="13.5" thickBot="1" x14ac:dyDescent="0.25">
      <c r="A22" s="303" t="s">
        <v>214</v>
      </c>
      <c r="B22" s="8"/>
      <c r="C22" s="8"/>
      <c r="D22" s="8"/>
      <c r="E22" s="8"/>
      <c r="F22" s="8"/>
      <c r="G22" s="8"/>
      <c r="H22" s="329"/>
      <c r="I22" s="329"/>
      <c r="J22" s="329"/>
      <c r="K22" s="85"/>
      <c r="L22" s="183"/>
    </row>
    <row r="23" spans="1:12" x14ac:dyDescent="0.2">
      <c r="A23" s="245" t="s">
        <v>206</v>
      </c>
      <c r="B23" s="173"/>
      <c r="C23" s="173"/>
      <c r="D23" s="173"/>
      <c r="E23" s="173"/>
      <c r="F23" s="173"/>
      <c r="G23" s="173"/>
      <c r="H23" s="244" t="s">
        <v>212</v>
      </c>
      <c r="I23" s="244" t="s">
        <v>212</v>
      </c>
      <c r="J23" s="243" t="s">
        <v>212</v>
      </c>
      <c r="K23" s="85"/>
      <c r="L23" s="183"/>
    </row>
    <row r="24" spans="1:12" x14ac:dyDescent="0.2">
      <c r="A24" s="177" t="s">
        <v>200</v>
      </c>
      <c r="B24" s="8"/>
      <c r="C24" s="8"/>
      <c r="D24" s="8"/>
      <c r="E24" s="8"/>
      <c r="F24" s="8"/>
      <c r="G24" s="8"/>
      <c r="H24" s="329"/>
      <c r="I24" s="329"/>
      <c r="J24" s="242"/>
      <c r="K24" s="85"/>
      <c r="L24" s="183"/>
    </row>
    <row r="25" spans="1:12" x14ac:dyDescent="0.2">
      <c r="A25" s="177" t="s">
        <v>213</v>
      </c>
      <c r="B25" s="8"/>
      <c r="C25" s="8"/>
      <c r="D25" s="8"/>
      <c r="E25" s="8"/>
      <c r="F25" s="8"/>
      <c r="G25" s="8"/>
      <c r="H25" s="233">
        <f>H4/2*25%</f>
        <v>169.25</v>
      </c>
      <c r="I25" s="233">
        <f>I11/2*25%</f>
        <v>188.5</v>
      </c>
      <c r="J25" s="232">
        <f>J4/2*25%</f>
        <v>177</v>
      </c>
      <c r="K25" s="264"/>
      <c r="L25" s="183"/>
    </row>
    <row r="26" spans="1:12" x14ac:dyDescent="0.2">
      <c r="A26" s="177" t="s">
        <v>207</v>
      </c>
      <c r="B26" s="8"/>
      <c r="C26" s="8"/>
      <c r="D26" s="8"/>
      <c r="E26" s="8"/>
      <c r="F26" s="8"/>
      <c r="G26" s="8"/>
      <c r="H26" s="329"/>
      <c r="I26" s="329"/>
      <c r="J26" s="242"/>
      <c r="K26" s="85"/>
      <c r="L26" s="183"/>
    </row>
    <row r="27" spans="1:12" x14ac:dyDescent="0.2">
      <c r="A27" s="177" t="s">
        <v>208</v>
      </c>
      <c r="B27" s="8"/>
      <c r="C27" s="8"/>
      <c r="D27" s="8"/>
      <c r="E27" s="8"/>
      <c r="F27" s="8"/>
      <c r="G27" s="8"/>
      <c r="H27" s="329"/>
      <c r="I27" s="329"/>
      <c r="J27" s="242"/>
      <c r="K27" s="85"/>
      <c r="L27" s="183"/>
    </row>
    <row r="28" spans="1:12" x14ac:dyDescent="0.2">
      <c r="A28" s="177" t="s">
        <v>209</v>
      </c>
      <c r="B28" s="8"/>
      <c r="C28" s="8"/>
      <c r="D28" s="8"/>
      <c r="E28" s="8"/>
      <c r="F28" s="8"/>
      <c r="G28" s="8"/>
      <c r="H28" s="329"/>
      <c r="I28" s="329"/>
      <c r="J28" s="242"/>
      <c r="K28" s="85"/>
      <c r="L28" s="183"/>
    </row>
    <row r="29" spans="1:12" x14ac:dyDescent="0.2">
      <c r="A29" s="177" t="s">
        <v>135</v>
      </c>
      <c r="B29" s="8"/>
      <c r="C29" s="8"/>
      <c r="D29" s="8"/>
      <c r="E29" s="8"/>
      <c r="F29" s="8"/>
      <c r="G29" s="8"/>
      <c r="H29" s="241">
        <v>27</v>
      </c>
      <c r="I29" s="241">
        <v>27</v>
      </c>
      <c r="J29" s="240">
        <v>27</v>
      </c>
      <c r="K29" s="263"/>
      <c r="L29" s="183"/>
    </row>
    <row r="30" spans="1:12" x14ac:dyDescent="0.2">
      <c r="A30" s="177" t="s">
        <v>211</v>
      </c>
      <c r="B30" s="8"/>
      <c r="C30" s="8"/>
      <c r="D30" s="8"/>
      <c r="E30" s="8"/>
      <c r="F30" s="8"/>
      <c r="G30" s="8"/>
      <c r="H30" s="241" t="s">
        <v>220</v>
      </c>
      <c r="I30" s="241" t="s">
        <v>220</v>
      </c>
      <c r="J30" s="240" t="s">
        <v>220</v>
      </c>
      <c r="K30" s="263"/>
      <c r="L30" s="183"/>
    </row>
    <row r="31" spans="1:12" x14ac:dyDescent="0.2">
      <c r="A31" s="177" t="s">
        <v>217</v>
      </c>
      <c r="B31" s="8"/>
      <c r="C31" s="8"/>
      <c r="D31" s="8"/>
      <c r="E31" s="8"/>
      <c r="F31" s="8"/>
      <c r="G31" s="8"/>
      <c r="H31" s="263">
        <v>0</v>
      </c>
      <c r="I31" s="263">
        <v>0</v>
      </c>
      <c r="J31" s="299">
        <v>0</v>
      </c>
      <c r="K31" s="261"/>
      <c r="L31" s="183" t="s">
        <v>289</v>
      </c>
    </row>
    <row r="32" spans="1:12" x14ac:dyDescent="0.2">
      <c r="A32" s="177" t="s">
        <v>218</v>
      </c>
      <c r="B32" s="8"/>
      <c r="C32" s="8"/>
      <c r="D32" s="8"/>
      <c r="E32" s="8"/>
      <c r="F32" s="8"/>
      <c r="G32" s="8"/>
      <c r="H32" s="263">
        <v>0</v>
      </c>
      <c r="I32" s="263">
        <v>0</v>
      </c>
      <c r="J32" s="299">
        <v>0</v>
      </c>
      <c r="K32" s="261"/>
      <c r="L32" s="183" t="s">
        <v>289</v>
      </c>
    </row>
    <row r="33" spans="1:12" x14ac:dyDescent="0.2">
      <c r="A33" s="177" t="s">
        <v>215</v>
      </c>
      <c r="B33" s="8"/>
      <c r="C33" s="8"/>
      <c r="D33" s="8"/>
      <c r="E33" s="8"/>
      <c r="F33" s="8"/>
      <c r="G33" s="8"/>
      <c r="H33" s="263">
        <v>0</v>
      </c>
      <c r="I33" s="263">
        <v>0</v>
      </c>
      <c r="J33" s="299">
        <v>0</v>
      </c>
      <c r="K33" s="85"/>
      <c r="L33" s="183" t="s">
        <v>289</v>
      </c>
    </row>
    <row r="34" spans="1:12" x14ac:dyDescent="0.2">
      <c r="A34" s="177" t="s">
        <v>216</v>
      </c>
      <c r="B34" s="8"/>
      <c r="C34" s="8"/>
      <c r="D34" s="8"/>
      <c r="E34" s="8"/>
      <c r="F34" s="8"/>
      <c r="G34" s="8"/>
      <c r="H34" s="241">
        <v>0</v>
      </c>
      <c r="I34" s="241">
        <v>0</v>
      </c>
      <c r="J34" s="240">
        <v>0</v>
      </c>
      <c r="K34" s="85" t="s">
        <v>104</v>
      </c>
      <c r="L34" s="183" t="s">
        <v>289</v>
      </c>
    </row>
    <row r="35" spans="1:12" ht="13.5" thickBot="1" x14ac:dyDescent="0.25">
      <c r="A35" s="178" t="s">
        <v>9</v>
      </c>
      <c r="B35" s="179"/>
      <c r="C35" s="179"/>
      <c r="D35" s="179"/>
      <c r="E35" s="179"/>
      <c r="F35" s="179"/>
      <c r="G35" s="179"/>
      <c r="H35" s="901" t="s">
        <v>608</v>
      </c>
      <c r="I35" s="901"/>
      <c r="J35" s="902"/>
      <c r="K35" s="85"/>
      <c r="L35" s="183" t="s">
        <v>289</v>
      </c>
    </row>
    <row r="36" spans="1:12" ht="13.5" thickBot="1" x14ac:dyDescent="0.25">
      <c r="A36" s="184"/>
      <c r="B36" s="179"/>
      <c r="C36" s="179"/>
      <c r="D36" s="179"/>
      <c r="E36" s="179"/>
      <c r="F36" s="179"/>
      <c r="G36" s="179"/>
      <c r="H36" s="179"/>
      <c r="I36" s="179"/>
      <c r="J36" s="179"/>
      <c r="K36" s="304"/>
      <c r="L36" s="185"/>
    </row>
    <row r="37" spans="1:12" ht="13.5" thickBot="1" x14ac:dyDescent="0.25">
      <c r="A37" s="423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5"/>
    </row>
    <row r="38" spans="1:12" x14ac:dyDescent="0.2">
      <c r="A38" s="174"/>
      <c r="B38" s="8"/>
      <c r="C38" s="8"/>
      <c r="D38" s="8"/>
      <c r="E38" s="8"/>
      <c r="F38" s="8"/>
      <c r="G38" s="8"/>
      <c r="H38" s="8"/>
      <c r="I38" s="8"/>
      <c r="J38" s="8"/>
      <c r="K38" s="16"/>
      <c r="L38" s="8"/>
    </row>
    <row r="39" spans="1:12" ht="13.5" thickBot="1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L39" s="12"/>
    </row>
    <row r="40" spans="1:12" ht="13.5" thickBot="1" x14ac:dyDescent="0.25">
      <c r="A40" s="180"/>
      <c r="B40" s="173"/>
      <c r="C40" s="173"/>
      <c r="D40" s="173"/>
      <c r="E40" s="173"/>
      <c r="F40" s="173"/>
      <c r="G40" s="173"/>
      <c r="H40" s="173"/>
      <c r="I40" s="899" t="s">
        <v>94</v>
      </c>
      <c r="J40" s="900"/>
      <c r="K40" s="34"/>
      <c r="L40" s="432" t="s">
        <v>637</v>
      </c>
    </row>
    <row r="41" spans="1:12" ht="13.5" thickBot="1" x14ac:dyDescent="0.25">
      <c r="A41" s="303" t="s">
        <v>636</v>
      </c>
      <c r="B41" s="8"/>
      <c r="C41" s="8"/>
      <c r="D41" s="8"/>
      <c r="E41" s="8"/>
      <c r="F41" s="8"/>
      <c r="G41" s="8"/>
      <c r="H41" s="329"/>
      <c r="I41" s="329" t="s">
        <v>151</v>
      </c>
      <c r="J41" s="329" t="s">
        <v>286</v>
      </c>
      <c r="K41" s="16"/>
      <c r="L41" s="183"/>
    </row>
    <row r="42" spans="1:12" x14ac:dyDescent="0.2">
      <c r="A42" s="245" t="s">
        <v>206</v>
      </c>
      <c r="B42" s="173"/>
      <c r="C42" s="173"/>
      <c r="D42" s="173"/>
      <c r="E42" s="173"/>
      <c r="F42" s="173"/>
      <c r="G42" s="173"/>
      <c r="H42" s="244"/>
      <c r="I42" s="244" t="s">
        <v>287</v>
      </c>
      <c r="J42" s="244" t="s">
        <v>284</v>
      </c>
      <c r="K42" s="16"/>
      <c r="L42" s="183"/>
    </row>
    <row r="43" spans="1:12" x14ac:dyDescent="0.2">
      <c r="A43" s="177" t="s">
        <v>200</v>
      </c>
      <c r="B43" s="8"/>
      <c r="C43" s="8"/>
      <c r="D43" s="8"/>
      <c r="E43" s="8"/>
      <c r="F43" s="8"/>
      <c r="G43" s="8"/>
      <c r="H43" s="85"/>
      <c r="I43" s="85">
        <v>55</v>
      </c>
      <c r="J43" s="87">
        <v>43</v>
      </c>
      <c r="K43" s="16"/>
      <c r="L43" s="183"/>
    </row>
    <row r="44" spans="1:12" x14ac:dyDescent="0.2">
      <c r="A44" s="177" t="s">
        <v>213</v>
      </c>
      <c r="B44" s="8"/>
      <c r="C44" s="8"/>
      <c r="D44" s="8"/>
      <c r="E44" s="8"/>
      <c r="F44" s="8"/>
      <c r="G44" s="8"/>
      <c r="H44" s="239"/>
      <c r="I44" s="300">
        <v>38</v>
      </c>
      <c r="J44" s="301">
        <v>20</v>
      </c>
      <c r="K44" s="16"/>
      <c r="L44" s="183"/>
    </row>
    <row r="45" spans="1:12" x14ac:dyDescent="0.2">
      <c r="A45" s="177" t="s">
        <v>288</v>
      </c>
      <c r="B45" s="8"/>
      <c r="C45" s="8"/>
      <c r="D45" s="8"/>
      <c r="E45" s="8"/>
      <c r="F45" s="8"/>
      <c r="G45" s="8"/>
      <c r="H45" s="239"/>
      <c r="I45" s="344">
        <v>3500</v>
      </c>
      <c r="J45" s="345">
        <v>3500</v>
      </c>
      <c r="K45" s="16"/>
      <c r="L45" s="183"/>
    </row>
    <row r="46" spans="1:12" x14ac:dyDescent="0.2">
      <c r="A46" s="177" t="s">
        <v>209</v>
      </c>
      <c r="B46" s="8"/>
      <c r="C46" s="8"/>
      <c r="D46" s="8"/>
      <c r="E46" s="8"/>
      <c r="F46" s="8"/>
      <c r="G46" s="8"/>
      <c r="H46" s="300"/>
      <c r="I46" s="342">
        <f>'Uti Rates &amp; Lighting Caps'!B5</f>
        <v>0.158</v>
      </c>
      <c r="J46" s="343">
        <f>'Uti Rates &amp; Lighting Caps'!B5</f>
        <v>0.158</v>
      </c>
      <c r="K46" s="16"/>
      <c r="L46" s="183"/>
    </row>
    <row r="47" spans="1:12" x14ac:dyDescent="0.2">
      <c r="A47" s="177" t="s">
        <v>135</v>
      </c>
      <c r="B47" s="8"/>
      <c r="C47" s="8"/>
      <c r="D47" s="8"/>
      <c r="E47" s="8"/>
      <c r="F47" s="8"/>
      <c r="G47" s="8"/>
      <c r="H47" s="241"/>
      <c r="I47" s="241"/>
      <c r="J47" s="240">
        <v>143</v>
      </c>
      <c r="K47" s="16"/>
      <c r="L47" s="183"/>
    </row>
    <row r="48" spans="1:12" x14ac:dyDescent="0.2">
      <c r="A48" s="177" t="s">
        <v>211</v>
      </c>
      <c r="B48" s="8"/>
      <c r="C48" s="8"/>
      <c r="D48" s="8"/>
      <c r="E48" s="8"/>
      <c r="F48" s="8"/>
      <c r="G48" s="8"/>
      <c r="H48" s="241"/>
      <c r="I48" s="241"/>
      <c r="J48" s="240">
        <v>0</v>
      </c>
      <c r="K48" s="16"/>
      <c r="L48" s="183" t="s">
        <v>285</v>
      </c>
    </row>
    <row r="49" spans="1:13" x14ac:dyDescent="0.2">
      <c r="A49" s="177" t="s">
        <v>217</v>
      </c>
      <c r="B49" s="8"/>
      <c r="C49" s="8"/>
      <c r="D49" s="8"/>
      <c r="E49" s="8"/>
      <c r="F49" s="8"/>
      <c r="G49" s="8"/>
      <c r="H49" s="261"/>
      <c r="I49" s="261"/>
      <c r="J49" s="302">
        <v>1540</v>
      </c>
      <c r="K49" s="16"/>
      <c r="L49" s="183" t="s">
        <v>635</v>
      </c>
    </row>
    <row r="50" spans="1:13" x14ac:dyDescent="0.2">
      <c r="A50" s="177" t="s">
        <v>218</v>
      </c>
      <c r="B50" s="8"/>
      <c r="C50" s="8"/>
      <c r="D50" s="8"/>
      <c r="E50" s="8"/>
      <c r="F50" s="8"/>
      <c r="G50" s="8"/>
      <c r="H50" s="263"/>
      <c r="I50" s="263"/>
      <c r="J50" s="299">
        <f>J49*J46</f>
        <v>243.32</v>
      </c>
      <c r="K50" s="16"/>
      <c r="L50" s="183" t="s">
        <v>635</v>
      </c>
    </row>
    <row r="51" spans="1:13" x14ac:dyDescent="0.2">
      <c r="A51" s="177" t="s">
        <v>215</v>
      </c>
      <c r="B51" s="8"/>
      <c r="C51" s="8"/>
      <c r="D51" s="8"/>
      <c r="E51" s="8"/>
      <c r="F51" s="8"/>
      <c r="G51" s="8"/>
      <c r="H51" s="263"/>
      <c r="I51" s="263"/>
      <c r="J51" s="299">
        <v>50</v>
      </c>
      <c r="K51" s="16"/>
      <c r="L51" s="183"/>
      <c r="M51" s="8"/>
    </row>
    <row r="52" spans="1:13" x14ac:dyDescent="0.2">
      <c r="A52" s="177" t="s">
        <v>216</v>
      </c>
      <c r="B52" s="8"/>
      <c r="C52" s="8"/>
      <c r="D52" s="8"/>
      <c r="E52" s="8"/>
      <c r="F52" s="8"/>
      <c r="G52" s="8"/>
      <c r="H52" s="241"/>
      <c r="I52" s="241"/>
      <c r="J52" s="240">
        <f>J44*J51</f>
        <v>1000</v>
      </c>
      <c r="K52" s="16"/>
      <c r="L52" s="183"/>
      <c r="M52" s="8"/>
    </row>
    <row r="53" spans="1:13" ht="13.5" thickBot="1" x14ac:dyDescent="0.25">
      <c r="A53" s="178" t="s">
        <v>9</v>
      </c>
      <c r="B53" s="179"/>
      <c r="C53" s="179"/>
      <c r="D53" s="179"/>
      <c r="E53" s="179"/>
      <c r="F53" s="179"/>
      <c r="G53" s="179"/>
      <c r="H53" s="347"/>
      <c r="I53" s="347"/>
      <c r="J53" s="257"/>
      <c r="K53" s="16"/>
      <c r="L53" s="183"/>
      <c r="M53" s="8"/>
    </row>
    <row r="54" spans="1:13" ht="13.5" thickBot="1" x14ac:dyDescent="0.25">
      <c r="A54" s="178"/>
      <c r="B54" s="179"/>
      <c r="C54" s="179"/>
      <c r="D54" s="179"/>
      <c r="E54" s="179"/>
      <c r="F54" s="179"/>
      <c r="G54" s="179"/>
      <c r="H54" s="347"/>
      <c r="I54" s="347"/>
      <c r="J54" s="347"/>
      <c r="K54" s="304"/>
      <c r="L54" s="185"/>
      <c r="M54" s="8"/>
    </row>
    <row r="55" spans="1:13" ht="13.5" thickBot="1" x14ac:dyDescent="0.25">
      <c r="A55" s="428"/>
      <c r="B55" s="429"/>
      <c r="C55" s="429"/>
      <c r="D55" s="429"/>
      <c r="E55" s="429"/>
      <c r="F55" s="429"/>
      <c r="G55" s="429"/>
      <c r="H55" s="430"/>
      <c r="I55" s="430"/>
      <c r="J55" s="430"/>
      <c r="K55" s="427"/>
      <c r="L55" s="427"/>
      <c r="M55" s="8"/>
    </row>
    <row r="56" spans="1:13" ht="13.5" thickBot="1" x14ac:dyDescent="0.25">
      <c r="A56" s="426" t="s">
        <v>320</v>
      </c>
      <c r="B56" s="173"/>
      <c r="C56" s="173"/>
      <c r="D56" s="173"/>
      <c r="E56" s="173"/>
      <c r="F56" s="173"/>
      <c r="G56" s="173"/>
      <c r="H56" s="244"/>
      <c r="I56" s="244"/>
      <c r="J56" s="244"/>
      <c r="K56" s="34"/>
      <c r="L56" s="186"/>
      <c r="M56" s="8"/>
    </row>
    <row r="57" spans="1:13" x14ac:dyDescent="0.2">
      <c r="A57" s="245" t="s">
        <v>206</v>
      </c>
      <c r="B57" s="173"/>
      <c r="C57" s="173"/>
      <c r="D57" s="173"/>
      <c r="E57" s="173"/>
      <c r="F57" s="173"/>
      <c r="G57" s="173"/>
      <c r="H57" s="244"/>
      <c r="I57" s="244" t="s">
        <v>318</v>
      </c>
      <c r="J57" s="243"/>
      <c r="K57" s="16"/>
      <c r="L57" s="183"/>
      <c r="M57" s="8"/>
    </row>
    <row r="58" spans="1:13" x14ac:dyDescent="0.2">
      <c r="A58" s="177" t="s">
        <v>200</v>
      </c>
      <c r="B58" s="8"/>
      <c r="C58" s="8"/>
      <c r="D58" s="8"/>
      <c r="E58" s="8"/>
      <c r="F58" s="8"/>
      <c r="G58" s="8"/>
      <c r="H58" s="85"/>
      <c r="I58" s="85">
        <v>25</v>
      </c>
      <c r="J58" s="87"/>
      <c r="K58" s="16"/>
      <c r="L58" s="183"/>
      <c r="M58" s="8"/>
    </row>
    <row r="59" spans="1:13" x14ac:dyDescent="0.2">
      <c r="A59" s="177" t="s">
        <v>213</v>
      </c>
      <c r="B59" s="8"/>
      <c r="C59" s="8"/>
      <c r="D59" s="8"/>
      <c r="E59" s="8"/>
      <c r="F59" s="8"/>
      <c r="G59" s="8"/>
      <c r="H59" s="239"/>
      <c r="I59" s="239">
        <f>I5</f>
        <v>20</v>
      </c>
      <c r="J59" s="301"/>
      <c r="K59" s="16"/>
      <c r="L59" s="183"/>
      <c r="M59" s="8"/>
    </row>
    <row r="60" spans="1:13" x14ac:dyDescent="0.2">
      <c r="A60" s="177" t="s">
        <v>207</v>
      </c>
      <c r="B60" s="8"/>
      <c r="C60" s="8"/>
      <c r="D60" s="8"/>
      <c r="E60" s="8"/>
      <c r="F60" s="8"/>
      <c r="G60" s="8"/>
      <c r="H60" s="300"/>
      <c r="I60" s="300"/>
      <c r="J60" s="301"/>
      <c r="K60" s="16"/>
      <c r="L60" s="183"/>
      <c r="M60" s="8"/>
    </row>
    <row r="61" spans="1:13" x14ac:dyDescent="0.2">
      <c r="A61" s="177" t="s">
        <v>208</v>
      </c>
      <c r="B61" s="8"/>
      <c r="C61" s="8"/>
      <c r="D61" s="8"/>
      <c r="E61" s="8"/>
      <c r="F61" s="8"/>
      <c r="G61" s="8"/>
      <c r="H61" s="300"/>
      <c r="I61" s="300"/>
      <c r="J61" s="236"/>
      <c r="K61" s="16"/>
      <c r="L61" s="183"/>
      <c r="M61" s="8"/>
    </row>
    <row r="62" spans="1:13" x14ac:dyDescent="0.2">
      <c r="A62" s="177" t="s">
        <v>209</v>
      </c>
      <c r="B62" s="8"/>
      <c r="C62" s="8"/>
      <c r="D62" s="8"/>
      <c r="E62" s="8"/>
      <c r="F62" s="8"/>
      <c r="G62" s="8"/>
      <c r="H62" s="300"/>
      <c r="I62" s="342">
        <f>'Uti Rates &amp; Lighting Caps'!B4</f>
        <v>0.153</v>
      </c>
      <c r="J62" s="301"/>
      <c r="K62" s="16"/>
      <c r="L62" s="183"/>
      <c r="M62" s="8"/>
    </row>
    <row r="63" spans="1:13" x14ac:dyDescent="0.2">
      <c r="A63" s="177" t="s">
        <v>135</v>
      </c>
      <c r="B63" s="8"/>
      <c r="C63" s="8"/>
      <c r="D63" s="8"/>
      <c r="E63" s="8"/>
      <c r="F63" s="8"/>
      <c r="G63" s="8"/>
      <c r="H63" s="241"/>
      <c r="I63" s="241">
        <v>15</v>
      </c>
      <c r="J63" s="240"/>
      <c r="K63" s="16"/>
      <c r="L63" s="183"/>
      <c r="M63" s="8"/>
    </row>
    <row r="64" spans="1:13" x14ac:dyDescent="0.2">
      <c r="A64" s="177" t="s">
        <v>211</v>
      </c>
      <c r="B64" s="8"/>
      <c r="C64" s="8"/>
      <c r="D64" s="8"/>
      <c r="E64" s="8"/>
      <c r="F64" s="8"/>
      <c r="G64" s="8"/>
      <c r="H64" s="241"/>
      <c r="I64" s="241">
        <v>2</v>
      </c>
      <c r="J64" s="240"/>
      <c r="K64" s="16"/>
      <c r="L64" s="183"/>
      <c r="M64" s="8"/>
    </row>
    <row r="65" spans="1:13" x14ac:dyDescent="0.2">
      <c r="A65" s="177" t="s">
        <v>217</v>
      </c>
      <c r="B65" s="8"/>
      <c r="C65" s="8"/>
      <c r="D65" s="8"/>
      <c r="E65" s="8"/>
      <c r="F65" s="8"/>
      <c r="G65" s="8"/>
      <c r="H65" s="261"/>
      <c r="I65" s="261">
        <v>584</v>
      </c>
      <c r="J65" s="302"/>
      <c r="K65" s="16"/>
      <c r="L65" s="183"/>
      <c r="M65" s="8"/>
    </row>
    <row r="66" spans="1:13" x14ac:dyDescent="0.2">
      <c r="A66" s="177" t="s">
        <v>218</v>
      </c>
      <c r="B66" s="8"/>
      <c r="C66" s="8"/>
      <c r="D66" s="8"/>
      <c r="E66" s="8"/>
      <c r="F66" s="8"/>
      <c r="G66" s="8"/>
      <c r="H66" s="263"/>
      <c r="I66" s="263">
        <f>I65*I62</f>
        <v>89.352000000000004</v>
      </c>
      <c r="J66" s="299"/>
      <c r="K66" s="16"/>
      <c r="L66" s="183"/>
      <c r="M66" s="8"/>
    </row>
    <row r="67" spans="1:13" x14ac:dyDescent="0.2">
      <c r="A67" s="177" t="s">
        <v>215</v>
      </c>
      <c r="B67" s="8"/>
      <c r="C67" s="8"/>
      <c r="D67" s="8"/>
      <c r="E67" s="8"/>
      <c r="F67" s="8"/>
      <c r="G67" s="8"/>
      <c r="H67" s="263"/>
      <c r="I67" s="263">
        <v>0</v>
      </c>
      <c r="J67" s="299"/>
      <c r="K67" s="16"/>
      <c r="L67" s="183"/>
      <c r="M67" s="8"/>
    </row>
    <row r="68" spans="1:13" x14ac:dyDescent="0.2">
      <c r="A68" s="177" t="s">
        <v>216</v>
      </c>
      <c r="B68" s="8"/>
      <c r="C68" s="8"/>
      <c r="D68" s="8"/>
      <c r="E68" s="8"/>
      <c r="F68" s="8"/>
      <c r="G68" s="8"/>
      <c r="H68" s="241"/>
      <c r="I68" s="241">
        <v>0</v>
      </c>
      <c r="J68" s="240"/>
      <c r="K68" s="16"/>
      <c r="L68" s="183"/>
      <c r="M68" s="8"/>
    </row>
    <row r="69" spans="1:13" ht="13.5" thickBot="1" x14ac:dyDescent="0.25">
      <c r="A69" s="178" t="s">
        <v>9</v>
      </c>
      <c r="B69" s="179"/>
      <c r="C69" s="179"/>
      <c r="D69" s="179"/>
      <c r="E69" s="179"/>
      <c r="F69" s="179"/>
      <c r="G69" s="179"/>
      <c r="H69" s="347"/>
      <c r="I69" s="347"/>
      <c r="J69" s="348"/>
      <c r="K69" s="16"/>
      <c r="L69" s="183"/>
      <c r="M69" s="8"/>
    </row>
    <row r="70" spans="1:13" ht="13.5" thickBot="1" x14ac:dyDescent="0.25">
      <c r="A70" s="178"/>
      <c r="B70" s="179"/>
      <c r="C70" s="179"/>
      <c r="D70" s="179"/>
      <c r="E70" s="179"/>
      <c r="F70" s="179"/>
      <c r="G70" s="179"/>
      <c r="H70" s="347"/>
      <c r="I70" s="347"/>
      <c r="J70" s="347"/>
      <c r="K70" s="304"/>
      <c r="L70" s="185"/>
      <c r="M70" s="8"/>
    </row>
    <row r="71" spans="1:13" x14ac:dyDescent="0.2">
      <c r="M71" s="8"/>
    </row>
    <row r="72" spans="1:13" x14ac:dyDescent="0.2">
      <c r="M72" s="8"/>
    </row>
    <row r="73" spans="1:13" x14ac:dyDescent="0.2">
      <c r="M73" s="8"/>
    </row>
    <row r="74" spans="1:13" x14ac:dyDescent="0.2">
      <c r="M74" s="8"/>
    </row>
    <row r="75" spans="1:13" x14ac:dyDescent="0.2">
      <c r="M75" s="8"/>
    </row>
    <row r="76" spans="1:13" x14ac:dyDescent="0.2">
      <c r="M76" s="8"/>
    </row>
    <row r="77" spans="1:13" x14ac:dyDescent="0.2">
      <c r="M77" s="8"/>
    </row>
    <row r="78" spans="1:13" x14ac:dyDescent="0.2">
      <c r="M78" s="8"/>
    </row>
    <row r="79" spans="1:13" x14ac:dyDescent="0.2">
      <c r="M79" s="8"/>
    </row>
    <row r="80" spans="1:13" x14ac:dyDescent="0.2">
      <c r="M80" s="8"/>
    </row>
    <row r="81" spans="13:13" x14ac:dyDescent="0.2">
      <c r="M81" s="8"/>
    </row>
    <row r="82" spans="13:13" x14ac:dyDescent="0.2">
      <c r="M82" s="8"/>
    </row>
    <row r="83" spans="13:13" x14ac:dyDescent="0.2">
      <c r="M83" s="8"/>
    </row>
    <row r="84" spans="13:13" x14ac:dyDescent="0.2">
      <c r="M84" s="8"/>
    </row>
    <row r="85" spans="13:13" x14ac:dyDescent="0.2">
      <c r="M85" s="8"/>
    </row>
    <row r="86" spans="13:13" x14ac:dyDescent="0.2">
      <c r="M86" s="8"/>
    </row>
    <row r="87" spans="13:13" x14ac:dyDescent="0.2">
      <c r="M87" s="8"/>
    </row>
    <row r="88" spans="13:13" x14ac:dyDescent="0.2">
      <c r="M88" s="8"/>
    </row>
    <row r="89" spans="13:13" x14ac:dyDescent="0.2">
      <c r="M89" s="8"/>
    </row>
    <row r="90" spans="13:13" x14ac:dyDescent="0.2">
      <c r="M90" s="8"/>
    </row>
    <row r="91" spans="13:13" x14ac:dyDescent="0.2">
      <c r="M91" s="8"/>
    </row>
    <row r="92" spans="13:13" x14ac:dyDescent="0.2">
      <c r="M92" s="8"/>
    </row>
    <row r="93" spans="13:13" x14ac:dyDescent="0.2">
      <c r="M93" s="8"/>
    </row>
    <row r="94" spans="13:13" x14ac:dyDescent="0.2">
      <c r="M94" s="8"/>
    </row>
    <row r="95" spans="13:13" x14ac:dyDescent="0.2">
      <c r="M95" s="8"/>
    </row>
    <row r="96" spans="13:13" x14ac:dyDescent="0.2">
      <c r="M96" s="8"/>
    </row>
    <row r="97" spans="13:13" x14ac:dyDescent="0.2">
      <c r="M97" s="8"/>
    </row>
    <row r="98" spans="13:13" x14ac:dyDescent="0.2">
      <c r="M98" s="8"/>
    </row>
    <row r="99" spans="13:13" x14ac:dyDescent="0.2">
      <c r="M99" s="8"/>
    </row>
    <row r="100" spans="13:13" x14ac:dyDescent="0.2">
      <c r="M100" s="8"/>
    </row>
    <row r="101" spans="13:13" x14ac:dyDescent="0.2">
      <c r="M101" s="8"/>
    </row>
    <row r="102" spans="13:13" x14ac:dyDescent="0.2">
      <c r="M102" s="8"/>
    </row>
    <row r="103" spans="13:13" x14ac:dyDescent="0.2">
      <c r="M103" s="8"/>
    </row>
    <row r="104" spans="13:13" x14ac:dyDescent="0.2">
      <c r="M104" s="8"/>
    </row>
    <row r="105" spans="13:13" x14ac:dyDescent="0.2">
      <c r="M105" s="8"/>
    </row>
    <row r="106" spans="13:13" x14ac:dyDescent="0.2">
      <c r="M106" s="8"/>
    </row>
    <row r="107" spans="13:13" x14ac:dyDescent="0.2">
      <c r="M107" s="8"/>
    </row>
    <row r="108" spans="13:13" x14ac:dyDescent="0.2">
      <c r="M108" s="8"/>
    </row>
    <row r="109" spans="13:13" x14ac:dyDescent="0.2">
      <c r="M109" s="8"/>
    </row>
    <row r="110" spans="13:13" x14ac:dyDescent="0.2">
      <c r="M110" s="8"/>
    </row>
    <row r="111" spans="13:13" x14ac:dyDescent="0.2">
      <c r="M111" s="8"/>
    </row>
    <row r="112" spans="13:13" x14ac:dyDescent="0.2">
      <c r="M112" s="8"/>
    </row>
    <row r="113" spans="1:13" x14ac:dyDescent="0.2">
      <c r="M113" s="8"/>
    </row>
    <row r="114" spans="1:13" x14ac:dyDescent="0.2">
      <c r="M114" s="8"/>
    </row>
    <row r="115" spans="1:13" x14ac:dyDescent="0.2">
      <c r="M115" s="8"/>
    </row>
    <row r="116" spans="1:13" x14ac:dyDescent="0.2">
      <c r="M116" s="8"/>
    </row>
    <row r="117" spans="1:13" x14ac:dyDescent="0.2">
      <c r="M117" s="8"/>
    </row>
    <row r="119" spans="1:13" s="341" customFormat="1" x14ac:dyDescent="0.2">
      <c r="A119"/>
      <c r="B119"/>
      <c r="C119"/>
      <c r="D119"/>
      <c r="E119"/>
      <c r="F119"/>
      <c r="G119"/>
      <c r="H119"/>
      <c r="I119"/>
      <c r="J119"/>
      <c r="K119" s="12"/>
      <c r="L119"/>
    </row>
    <row r="124" spans="1:13" s="341" customFormat="1" x14ac:dyDescent="0.2">
      <c r="A124"/>
      <c r="B124"/>
      <c r="C124"/>
      <c r="D124"/>
      <c r="E124"/>
      <c r="F124"/>
      <c r="G124"/>
      <c r="H124"/>
      <c r="I124"/>
      <c r="J124"/>
      <c r="K124" s="12"/>
      <c r="L124"/>
    </row>
    <row r="135" spans="1:14" s="341" customFormat="1" x14ac:dyDescent="0.2">
      <c r="A135"/>
      <c r="B135"/>
      <c r="C135"/>
      <c r="D135"/>
      <c r="E135"/>
      <c r="F135"/>
      <c r="G135"/>
      <c r="H135"/>
      <c r="I135"/>
      <c r="J135"/>
      <c r="K135" s="12"/>
      <c r="L135"/>
    </row>
    <row r="136" spans="1:14" s="341" customFormat="1" x14ac:dyDescent="0.2">
      <c r="A136"/>
      <c r="B136"/>
      <c r="C136"/>
      <c r="D136"/>
      <c r="E136"/>
      <c r="F136"/>
      <c r="G136"/>
      <c r="H136"/>
      <c r="I136"/>
      <c r="J136"/>
      <c r="K136" s="12"/>
      <c r="L136"/>
    </row>
    <row r="137" spans="1:14" s="341" customFormat="1" x14ac:dyDescent="0.2">
      <c r="A137"/>
      <c r="B137"/>
      <c r="C137"/>
      <c r="D137"/>
      <c r="E137"/>
      <c r="F137"/>
      <c r="G137"/>
      <c r="H137"/>
      <c r="I137"/>
      <c r="J137"/>
      <c r="K137" s="12"/>
      <c r="L137"/>
      <c r="M137" s="8"/>
      <c r="N137" s="8"/>
    </row>
    <row r="138" spans="1:14" s="341" customFormat="1" x14ac:dyDescent="0.2">
      <c r="A138"/>
      <c r="B138"/>
      <c r="C138"/>
      <c r="D138"/>
      <c r="E138"/>
      <c r="F138"/>
      <c r="G138"/>
      <c r="H138"/>
      <c r="I138"/>
      <c r="J138"/>
      <c r="K138" s="12"/>
      <c r="L138"/>
      <c r="M138" s="8"/>
      <c r="N138" s="8"/>
    </row>
    <row r="139" spans="1:14" s="341" customFormat="1" x14ac:dyDescent="0.2">
      <c r="A139"/>
      <c r="B139"/>
      <c r="C139"/>
      <c r="D139"/>
      <c r="E139"/>
      <c r="F139"/>
      <c r="G139"/>
      <c r="H139"/>
      <c r="I139"/>
      <c r="J139"/>
      <c r="K139" s="12"/>
      <c r="L139"/>
      <c r="M139" s="8"/>
      <c r="N139" s="8"/>
    </row>
    <row r="140" spans="1:14" s="341" customFormat="1" x14ac:dyDescent="0.2">
      <c r="A140"/>
      <c r="B140"/>
      <c r="C140"/>
      <c r="D140"/>
      <c r="E140"/>
      <c r="F140"/>
      <c r="G140"/>
      <c r="H140"/>
      <c r="I140"/>
      <c r="J140"/>
      <c r="K140" s="12"/>
      <c r="L140"/>
      <c r="M140" s="8"/>
      <c r="N140" s="8"/>
    </row>
    <row r="141" spans="1:14" s="341" customFormat="1" x14ac:dyDescent="0.2">
      <c r="A141"/>
      <c r="B141"/>
      <c r="C141"/>
      <c r="D141"/>
      <c r="E141"/>
      <c r="F141"/>
      <c r="G141"/>
      <c r="H141"/>
      <c r="I141"/>
      <c r="J141"/>
      <c r="K141" s="12"/>
      <c r="L141"/>
      <c r="M141" s="8"/>
      <c r="N141" s="8"/>
    </row>
    <row r="142" spans="1:14" s="341" customFormat="1" x14ac:dyDescent="0.2">
      <c r="A142"/>
      <c r="B142"/>
      <c r="C142"/>
      <c r="D142"/>
      <c r="E142"/>
      <c r="F142"/>
      <c r="G142"/>
      <c r="H142"/>
      <c r="I142"/>
      <c r="J142"/>
      <c r="K142" s="12"/>
      <c r="L142"/>
      <c r="M142" s="8"/>
      <c r="N142" s="8"/>
    </row>
    <row r="143" spans="1:14" s="341" customFormat="1" x14ac:dyDescent="0.2">
      <c r="A143"/>
      <c r="B143"/>
      <c r="C143"/>
      <c r="D143"/>
      <c r="E143"/>
      <c r="F143"/>
      <c r="G143"/>
      <c r="H143"/>
      <c r="I143"/>
      <c r="J143"/>
      <c r="K143" s="12"/>
      <c r="L143"/>
      <c r="M143" s="8"/>
      <c r="N143" s="8"/>
    </row>
    <row r="144" spans="1:14" s="341" customFormat="1" x14ac:dyDescent="0.2">
      <c r="A144"/>
      <c r="B144"/>
      <c r="C144"/>
      <c r="D144"/>
      <c r="E144"/>
      <c r="F144"/>
      <c r="G144"/>
      <c r="H144"/>
      <c r="I144"/>
      <c r="J144"/>
      <c r="K144" s="12"/>
      <c r="L144"/>
      <c r="M144" s="8"/>
      <c r="N144" s="8"/>
    </row>
    <row r="145" spans="1:14" s="341" customFormat="1" x14ac:dyDescent="0.2">
      <c r="A145"/>
      <c r="B145"/>
      <c r="C145"/>
      <c r="D145"/>
      <c r="E145"/>
      <c r="F145"/>
      <c r="G145"/>
      <c r="H145"/>
      <c r="I145"/>
      <c r="J145"/>
      <c r="K145" s="12"/>
      <c r="L145"/>
      <c r="M145" s="8"/>
      <c r="N145" s="8"/>
    </row>
    <row r="146" spans="1:14" s="341" customFormat="1" x14ac:dyDescent="0.2">
      <c r="A146"/>
      <c r="B146"/>
      <c r="C146"/>
      <c r="D146"/>
      <c r="E146"/>
      <c r="F146"/>
      <c r="G146"/>
      <c r="H146"/>
      <c r="I146"/>
      <c r="J146"/>
      <c r="K146" s="12"/>
      <c r="L146"/>
      <c r="M146" s="8"/>
      <c r="N146" s="8"/>
    </row>
    <row r="147" spans="1:14" s="341" customFormat="1" x14ac:dyDescent="0.2">
      <c r="A147"/>
      <c r="B147"/>
      <c r="C147"/>
      <c r="D147"/>
      <c r="E147"/>
      <c r="F147"/>
      <c r="G147"/>
      <c r="H147"/>
      <c r="I147"/>
      <c r="J147"/>
      <c r="K147" s="12"/>
      <c r="L147"/>
      <c r="M147" s="8"/>
      <c r="N147" s="8"/>
    </row>
    <row r="148" spans="1:14" s="341" customFormat="1" x14ac:dyDescent="0.2">
      <c r="A148"/>
      <c r="B148"/>
      <c r="C148"/>
      <c r="D148"/>
      <c r="E148"/>
      <c r="F148"/>
      <c r="G148"/>
      <c r="H148"/>
      <c r="I148"/>
      <c r="J148"/>
      <c r="K148" s="12"/>
      <c r="L148"/>
      <c r="M148" s="8"/>
      <c r="N148" s="8"/>
    </row>
    <row r="149" spans="1:14" s="341" customFormat="1" x14ac:dyDescent="0.2">
      <c r="A149"/>
      <c r="B149"/>
      <c r="C149"/>
      <c r="D149"/>
      <c r="E149"/>
      <c r="F149"/>
      <c r="G149"/>
      <c r="H149"/>
      <c r="I149"/>
      <c r="J149"/>
      <c r="K149" s="12"/>
      <c r="L149"/>
      <c r="M149" s="8"/>
      <c r="N149" s="8"/>
    </row>
    <row r="150" spans="1:14" s="341" customFormat="1" x14ac:dyDescent="0.2">
      <c r="A150"/>
      <c r="B150"/>
      <c r="C150"/>
      <c r="D150"/>
      <c r="E150"/>
      <c r="F150"/>
      <c r="G150"/>
      <c r="H150"/>
      <c r="I150"/>
      <c r="J150"/>
      <c r="K150" s="12"/>
      <c r="L150"/>
      <c r="M150" s="8"/>
      <c r="N150" s="8"/>
    </row>
    <row r="151" spans="1:14" s="341" customFormat="1" x14ac:dyDescent="0.2">
      <c r="A151"/>
      <c r="B151"/>
      <c r="C151"/>
      <c r="D151"/>
      <c r="E151"/>
      <c r="F151"/>
      <c r="G151"/>
      <c r="H151"/>
      <c r="I151"/>
      <c r="J151"/>
      <c r="K151" s="12"/>
      <c r="L151"/>
      <c r="N151" s="8"/>
    </row>
  </sheetData>
  <mergeCells count="5">
    <mergeCell ref="H2:H3"/>
    <mergeCell ref="I2:I3"/>
    <mergeCell ref="J2:J3"/>
    <mergeCell ref="I40:J40"/>
    <mergeCell ref="H35:J3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186"/>
  <sheetViews>
    <sheetView topLeftCell="E1" workbookViewId="0">
      <selection activeCell="AN182" sqref="AN182"/>
    </sheetView>
  </sheetViews>
  <sheetFormatPr defaultRowHeight="12.75" x14ac:dyDescent="0.2"/>
  <cols>
    <col min="17" max="17" width="15.28515625" customWidth="1"/>
  </cols>
  <sheetData>
    <row r="1" spans="1:38" ht="51.75" thickBot="1" x14ac:dyDescent="0.3">
      <c r="A1" s="569" t="s">
        <v>124</v>
      </c>
      <c r="B1" s="569" t="s">
        <v>327</v>
      </c>
      <c r="C1" s="569" t="s">
        <v>328</v>
      </c>
      <c r="D1" s="569" t="s">
        <v>329</v>
      </c>
      <c r="E1" s="569" t="s">
        <v>330</v>
      </c>
      <c r="F1" s="569" t="s">
        <v>331</v>
      </c>
      <c r="G1" s="569" t="s">
        <v>332</v>
      </c>
      <c r="H1" s="607" t="s">
        <v>333</v>
      </c>
      <c r="I1" s="569" t="s">
        <v>334</v>
      </c>
      <c r="J1" s="569" t="s">
        <v>335</v>
      </c>
      <c r="K1" s="569" t="s">
        <v>336</v>
      </c>
      <c r="L1" s="607" t="s">
        <v>201</v>
      </c>
      <c r="M1" s="569" t="s">
        <v>337</v>
      </c>
      <c r="N1" s="569" t="s">
        <v>338</v>
      </c>
      <c r="O1" s="569" t="s">
        <v>339</v>
      </c>
      <c r="P1" s="569" t="s">
        <v>340</v>
      </c>
      <c r="Q1" s="607" t="s">
        <v>341</v>
      </c>
      <c r="R1" s="569" t="s">
        <v>342</v>
      </c>
      <c r="S1" s="569" t="s">
        <v>343</v>
      </c>
      <c r="T1" s="569" t="s">
        <v>344</v>
      </c>
      <c r="U1" s="569" t="s">
        <v>554</v>
      </c>
      <c r="V1" s="569" t="s">
        <v>346</v>
      </c>
      <c r="W1" s="569" t="s">
        <v>347</v>
      </c>
      <c r="X1" s="569" t="s">
        <v>348</v>
      </c>
      <c r="Y1" s="569" t="s">
        <v>349</v>
      </c>
      <c r="Z1" s="569" t="s">
        <v>350</v>
      </c>
      <c r="AA1" s="569" t="s">
        <v>351</v>
      </c>
      <c r="AB1" s="569" t="s">
        <v>352</v>
      </c>
      <c r="AC1" s="569" t="s">
        <v>353</v>
      </c>
      <c r="AD1" s="569" t="s">
        <v>179</v>
      </c>
      <c r="AE1" s="569" t="s">
        <v>354</v>
      </c>
      <c r="AF1" s="569" t="s">
        <v>355</v>
      </c>
      <c r="AG1" s="569" t="s">
        <v>356</v>
      </c>
      <c r="AH1" s="569" t="s">
        <v>278</v>
      </c>
      <c r="AI1" s="569" t="s">
        <v>279</v>
      </c>
      <c r="AJ1" s="569" t="s">
        <v>280</v>
      </c>
      <c r="AK1" s="569" t="s">
        <v>281</v>
      </c>
      <c r="AL1" s="569" t="s">
        <v>282</v>
      </c>
    </row>
    <row r="2" spans="1:38" ht="13.5" thickTop="1" x14ac:dyDescent="0.2">
      <c r="A2" s="582" t="s">
        <v>574</v>
      </c>
      <c r="B2" s="582">
        <v>82</v>
      </c>
      <c r="C2" s="582">
        <v>82</v>
      </c>
      <c r="D2" s="582" t="s">
        <v>85</v>
      </c>
      <c r="E2" s="582" t="s">
        <v>580</v>
      </c>
      <c r="F2" s="582"/>
      <c r="G2" s="582" t="s">
        <v>407</v>
      </c>
      <c r="H2" s="605" t="s">
        <v>287</v>
      </c>
      <c r="I2" s="582" t="s">
        <v>358</v>
      </c>
      <c r="J2" s="582"/>
      <c r="K2" s="582">
        <v>12</v>
      </c>
      <c r="L2" s="605">
        <v>24</v>
      </c>
      <c r="M2" s="582"/>
      <c r="N2" s="582"/>
      <c r="O2" s="582" t="s">
        <v>359</v>
      </c>
      <c r="P2" s="582" t="s">
        <v>360</v>
      </c>
      <c r="Q2" s="605" t="s">
        <v>555</v>
      </c>
      <c r="R2" s="582" t="s">
        <v>362</v>
      </c>
      <c r="S2" s="582"/>
      <c r="T2" s="582" t="s">
        <v>362</v>
      </c>
      <c r="U2" s="582" t="s">
        <v>362</v>
      </c>
      <c r="V2" s="582" t="s">
        <v>362</v>
      </c>
      <c r="W2" s="582" t="s">
        <v>362</v>
      </c>
      <c r="X2" s="583" t="s">
        <v>364</v>
      </c>
      <c r="Y2" s="582">
        <v>1</v>
      </c>
      <c r="Z2" s="582">
        <v>1</v>
      </c>
      <c r="AA2" s="584"/>
      <c r="AB2" s="582"/>
      <c r="AC2" s="582"/>
      <c r="AD2" s="582"/>
      <c r="AE2" s="583">
        <v>56</v>
      </c>
      <c r="AF2" s="585" t="s">
        <v>105</v>
      </c>
      <c r="AG2" s="586">
        <v>48</v>
      </c>
      <c r="AH2" s="586">
        <v>28</v>
      </c>
      <c r="AI2" s="587">
        <v>1950</v>
      </c>
      <c r="AJ2" s="587">
        <v>0</v>
      </c>
      <c r="AK2" s="587">
        <v>1560</v>
      </c>
      <c r="AL2" s="587">
        <v>102.96</v>
      </c>
    </row>
    <row r="3" spans="1:38" x14ac:dyDescent="0.2">
      <c r="A3" s="576" t="s">
        <v>574</v>
      </c>
      <c r="B3" s="576">
        <v>84</v>
      </c>
      <c r="C3" s="576">
        <v>84</v>
      </c>
      <c r="D3" s="576" t="s">
        <v>85</v>
      </c>
      <c r="E3" s="576" t="s">
        <v>450</v>
      </c>
      <c r="F3" s="576"/>
      <c r="G3" s="576" t="s">
        <v>407</v>
      </c>
      <c r="H3" s="606" t="s">
        <v>287</v>
      </c>
      <c r="I3" s="576" t="s">
        <v>358</v>
      </c>
      <c r="J3" s="576"/>
      <c r="K3" s="576">
        <v>12</v>
      </c>
      <c r="L3" s="605">
        <v>24</v>
      </c>
      <c r="M3" s="576"/>
      <c r="N3" s="576"/>
      <c r="O3" s="576" t="s">
        <v>359</v>
      </c>
      <c r="P3" s="576" t="s">
        <v>360</v>
      </c>
      <c r="Q3" s="605" t="s">
        <v>555</v>
      </c>
      <c r="R3" s="576" t="s">
        <v>362</v>
      </c>
      <c r="S3" s="576"/>
      <c r="T3" s="576" t="s">
        <v>362</v>
      </c>
      <c r="U3" s="576" t="s">
        <v>362</v>
      </c>
      <c r="V3" s="576" t="s">
        <v>362</v>
      </c>
      <c r="W3" s="576" t="s">
        <v>362</v>
      </c>
      <c r="X3" s="578" t="s">
        <v>364</v>
      </c>
      <c r="Y3" s="576">
        <v>1</v>
      </c>
      <c r="Z3" s="576">
        <v>1</v>
      </c>
      <c r="AA3" s="577"/>
      <c r="AB3" s="576"/>
      <c r="AC3" s="576"/>
      <c r="AD3" s="576"/>
      <c r="AE3" s="578">
        <v>56</v>
      </c>
      <c r="AF3" s="579" t="s">
        <v>105</v>
      </c>
      <c r="AG3" s="580">
        <v>48</v>
      </c>
      <c r="AH3" s="654">
        <v>28</v>
      </c>
      <c r="AI3" s="581">
        <v>1950</v>
      </c>
      <c r="AJ3" s="581">
        <v>0</v>
      </c>
      <c r="AK3" s="581">
        <v>1560</v>
      </c>
      <c r="AL3" s="581">
        <v>102.96</v>
      </c>
    </row>
    <row r="4" spans="1:38" x14ac:dyDescent="0.2">
      <c r="A4" s="570" t="s">
        <v>574</v>
      </c>
      <c r="B4" s="570">
        <v>19</v>
      </c>
      <c r="C4" s="570">
        <v>19</v>
      </c>
      <c r="D4" s="570" t="s">
        <v>581</v>
      </c>
      <c r="E4" s="570" t="s">
        <v>398</v>
      </c>
      <c r="F4" s="570"/>
      <c r="G4" s="570" t="s">
        <v>582</v>
      </c>
      <c r="H4" s="606" t="s">
        <v>380</v>
      </c>
      <c r="I4" s="570" t="s">
        <v>368</v>
      </c>
      <c r="J4" s="570"/>
      <c r="K4" s="570">
        <v>2</v>
      </c>
      <c r="L4" s="605">
        <v>4</v>
      </c>
      <c r="M4" s="570"/>
      <c r="N4" s="570"/>
      <c r="O4" s="570" t="s">
        <v>359</v>
      </c>
      <c r="P4" s="570" t="s">
        <v>360</v>
      </c>
      <c r="Q4" s="605" t="s">
        <v>555</v>
      </c>
      <c r="R4" s="570" t="s">
        <v>362</v>
      </c>
      <c r="S4" s="570">
        <v>2</v>
      </c>
      <c r="T4" s="570" t="s">
        <v>391</v>
      </c>
      <c r="U4" s="570" t="s">
        <v>392</v>
      </c>
      <c r="V4" s="570" t="s">
        <v>359</v>
      </c>
      <c r="W4" s="570" t="s">
        <v>360</v>
      </c>
      <c r="X4" s="572" t="s">
        <v>369</v>
      </c>
      <c r="Y4" s="570">
        <v>1</v>
      </c>
      <c r="Z4" s="570">
        <v>1</v>
      </c>
      <c r="AA4" s="571"/>
      <c r="AB4" s="570"/>
      <c r="AC4" s="570"/>
      <c r="AD4" s="570"/>
      <c r="AE4" s="572" t="s">
        <v>433</v>
      </c>
      <c r="AF4" s="573" t="s">
        <v>105</v>
      </c>
      <c r="AG4" s="574">
        <v>64</v>
      </c>
      <c r="AH4" s="654">
        <v>28</v>
      </c>
      <c r="AI4" s="575">
        <v>2340</v>
      </c>
      <c r="AJ4" s="575">
        <v>196.56</v>
      </c>
      <c r="AK4" s="575">
        <v>1872</v>
      </c>
      <c r="AL4" s="575">
        <v>20.591999999999999</v>
      </c>
    </row>
    <row r="5" spans="1:38" x14ac:dyDescent="0.2">
      <c r="A5" s="576" t="s">
        <v>574</v>
      </c>
      <c r="B5" s="576">
        <v>20</v>
      </c>
      <c r="C5" s="576">
        <v>20</v>
      </c>
      <c r="D5" s="576" t="s">
        <v>581</v>
      </c>
      <c r="E5" s="576" t="s">
        <v>399</v>
      </c>
      <c r="F5" s="576"/>
      <c r="G5" s="576" t="s">
        <v>582</v>
      </c>
      <c r="H5" s="606" t="s">
        <v>380</v>
      </c>
      <c r="I5" s="576" t="s">
        <v>368</v>
      </c>
      <c r="J5" s="576"/>
      <c r="K5" s="576">
        <v>2</v>
      </c>
      <c r="L5" s="605">
        <v>4</v>
      </c>
      <c r="M5" s="576"/>
      <c r="N5" s="576"/>
      <c r="O5" s="576" t="s">
        <v>359</v>
      </c>
      <c r="P5" s="576" t="s">
        <v>360</v>
      </c>
      <c r="Q5" s="605" t="s">
        <v>555</v>
      </c>
      <c r="R5" s="576" t="s">
        <v>362</v>
      </c>
      <c r="S5" s="576">
        <v>2</v>
      </c>
      <c r="T5" s="576" t="s">
        <v>391</v>
      </c>
      <c r="U5" s="576" t="s">
        <v>392</v>
      </c>
      <c r="V5" s="576" t="s">
        <v>359</v>
      </c>
      <c r="W5" s="576" t="s">
        <v>360</v>
      </c>
      <c r="X5" s="578" t="s">
        <v>369</v>
      </c>
      <c r="Y5" s="576">
        <v>1</v>
      </c>
      <c r="Z5" s="576">
        <v>1</v>
      </c>
      <c r="AA5" s="577"/>
      <c r="AB5" s="576"/>
      <c r="AC5" s="576"/>
      <c r="AD5" s="576"/>
      <c r="AE5" s="578" t="s">
        <v>433</v>
      </c>
      <c r="AF5" s="579" t="s">
        <v>105</v>
      </c>
      <c r="AG5" s="574">
        <v>64</v>
      </c>
      <c r="AH5" s="654">
        <v>28</v>
      </c>
      <c r="AI5" s="581">
        <v>2340</v>
      </c>
      <c r="AJ5" s="581">
        <v>196.56</v>
      </c>
      <c r="AK5" s="581">
        <v>1872</v>
      </c>
      <c r="AL5" s="581">
        <v>20.591999999999999</v>
      </c>
    </row>
    <row r="6" spans="1:38" x14ac:dyDescent="0.2">
      <c r="A6" s="570" t="s">
        <v>574</v>
      </c>
      <c r="B6" s="570">
        <v>21</v>
      </c>
      <c r="C6" s="570">
        <v>21</v>
      </c>
      <c r="D6" s="570" t="s">
        <v>581</v>
      </c>
      <c r="E6" s="570" t="s">
        <v>583</v>
      </c>
      <c r="F6" s="570"/>
      <c r="G6" s="570" t="s">
        <v>483</v>
      </c>
      <c r="H6" s="606" t="s">
        <v>380</v>
      </c>
      <c r="I6" s="570" t="s">
        <v>374</v>
      </c>
      <c r="J6" s="570"/>
      <c r="K6" s="570">
        <v>4</v>
      </c>
      <c r="L6" s="605">
        <v>8</v>
      </c>
      <c r="M6" s="570"/>
      <c r="N6" s="570"/>
      <c r="O6" s="570" t="s">
        <v>359</v>
      </c>
      <c r="P6" s="570" t="s">
        <v>360</v>
      </c>
      <c r="Q6" s="605" t="s">
        <v>555</v>
      </c>
      <c r="R6" s="570" t="s">
        <v>362</v>
      </c>
      <c r="S6" s="570">
        <v>4</v>
      </c>
      <c r="T6" s="570" t="s">
        <v>427</v>
      </c>
      <c r="U6" s="570" t="s">
        <v>428</v>
      </c>
      <c r="V6" s="570" t="s">
        <v>359</v>
      </c>
      <c r="W6" s="570" t="s">
        <v>360</v>
      </c>
      <c r="X6" s="572" t="s">
        <v>369</v>
      </c>
      <c r="Y6" s="570">
        <v>1</v>
      </c>
      <c r="Z6" s="570">
        <v>1</v>
      </c>
      <c r="AA6" s="571"/>
      <c r="AB6" s="570"/>
      <c r="AC6" s="570"/>
      <c r="AD6" s="570"/>
      <c r="AE6" s="572" t="s">
        <v>537</v>
      </c>
      <c r="AF6" s="573" t="s">
        <v>105</v>
      </c>
      <c r="AG6" s="574">
        <v>64</v>
      </c>
      <c r="AH6" s="654">
        <v>28</v>
      </c>
      <c r="AI6" s="575">
        <v>2340</v>
      </c>
      <c r="AJ6" s="575">
        <v>393.12</v>
      </c>
      <c r="AK6" s="575">
        <v>1872</v>
      </c>
      <c r="AL6" s="575">
        <v>41.183999999999997</v>
      </c>
    </row>
    <row r="7" spans="1:38" x14ac:dyDescent="0.2">
      <c r="A7" s="570" t="s">
        <v>574</v>
      </c>
      <c r="B7" s="570">
        <v>23</v>
      </c>
      <c r="C7" s="570">
        <v>23</v>
      </c>
      <c r="D7" s="570" t="s">
        <v>584</v>
      </c>
      <c r="E7" s="570" t="s">
        <v>585</v>
      </c>
      <c r="F7" s="570"/>
      <c r="G7" s="570" t="s">
        <v>483</v>
      </c>
      <c r="H7" s="606" t="s">
        <v>380</v>
      </c>
      <c r="I7" s="570" t="s">
        <v>358</v>
      </c>
      <c r="J7" s="570"/>
      <c r="K7" s="570">
        <v>12</v>
      </c>
      <c r="L7" s="605">
        <v>24</v>
      </c>
      <c r="M7" s="570"/>
      <c r="N7" s="570"/>
      <c r="O7" s="570" t="s">
        <v>359</v>
      </c>
      <c r="P7" s="570" t="s">
        <v>360</v>
      </c>
      <c r="Q7" s="605" t="s">
        <v>555</v>
      </c>
      <c r="R7" s="570" t="s">
        <v>362</v>
      </c>
      <c r="S7" s="570">
        <v>12</v>
      </c>
      <c r="T7" s="570" t="s">
        <v>439</v>
      </c>
      <c r="U7" s="570" t="s">
        <v>440</v>
      </c>
      <c r="V7" s="570" t="s">
        <v>359</v>
      </c>
      <c r="W7" s="570" t="s">
        <v>360</v>
      </c>
      <c r="X7" s="572" t="s">
        <v>369</v>
      </c>
      <c r="Y7" s="570">
        <v>1</v>
      </c>
      <c r="Z7" s="570">
        <v>5</v>
      </c>
      <c r="AA7" s="571"/>
      <c r="AB7" s="570"/>
      <c r="AC7" s="570"/>
      <c r="AD7" s="570"/>
      <c r="AE7" s="572" t="s">
        <v>486</v>
      </c>
      <c r="AF7" s="573" t="s">
        <v>105</v>
      </c>
      <c r="AG7" s="574">
        <v>64</v>
      </c>
      <c r="AH7" s="654">
        <v>28</v>
      </c>
      <c r="AI7" s="575">
        <v>2340</v>
      </c>
      <c r="AJ7" s="575">
        <v>1179.3599999999999</v>
      </c>
      <c r="AK7" s="575">
        <v>1872</v>
      </c>
      <c r="AL7" s="575">
        <v>123.55200000000001</v>
      </c>
    </row>
    <row r="8" spans="1:38" x14ac:dyDescent="0.2">
      <c r="A8" s="570" t="s">
        <v>574</v>
      </c>
      <c r="B8" s="570">
        <v>25</v>
      </c>
      <c r="C8" s="570">
        <v>25</v>
      </c>
      <c r="D8" s="570" t="s">
        <v>584</v>
      </c>
      <c r="E8" s="570" t="s">
        <v>586</v>
      </c>
      <c r="F8" s="570"/>
      <c r="G8" s="570" t="s">
        <v>483</v>
      </c>
      <c r="H8" s="606" t="s">
        <v>380</v>
      </c>
      <c r="I8" s="570" t="s">
        <v>374</v>
      </c>
      <c r="J8" s="570"/>
      <c r="K8" s="570">
        <v>6</v>
      </c>
      <c r="L8" s="605">
        <v>12</v>
      </c>
      <c r="M8" s="570"/>
      <c r="N8" s="570"/>
      <c r="O8" s="570" t="s">
        <v>359</v>
      </c>
      <c r="P8" s="570" t="s">
        <v>360</v>
      </c>
      <c r="Q8" s="605" t="s">
        <v>555</v>
      </c>
      <c r="R8" s="570" t="s">
        <v>362</v>
      </c>
      <c r="S8" s="570">
        <v>6</v>
      </c>
      <c r="T8" s="570" t="s">
        <v>385</v>
      </c>
      <c r="U8" s="570" t="s">
        <v>386</v>
      </c>
      <c r="V8" s="570" t="s">
        <v>359</v>
      </c>
      <c r="W8" s="570" t="s">
        <v>360</v>
      </c>
      <c r="X8" s="572" t="s">
        <v>364</v>
      </c>
      <c r="Y8" s="570">
        <v>1</v>
      </c>
      <c r="Z8" s="570">
        <v>2</v>
      </c>
      <c r="AA8" s="571"/>
      <c r="AB8" s="570"/>
      <c r="AC8" s="570"/>
      <c r="AD8" s="570"/>
      <c r="AE8" s="572" t="s">
        <v>556</v>
      </c>
      <c r="AF8" s="573" t="s">
        <v>105</v>
      </c>
      <c r="AG8" s="574">
        <v>64</v>
      </c>
      <c r="AH8" s="654">
        <v>28</v>
      </c>
      <c r="AI8" s="575">
        <v>2340</v>
      </c>
      <c r="AJ8" s="575">
        <v>589.67999999999995</v>
      </c>
      <c r="AK8" s="575">
        <v>1872</v>
      </c>
      <c r="AL8" s="575">
        <v>61.776000000000003</v>
      </c>
    </row>
    <row r="9" spans="1:38" x14ac:dyDescent="0.2">
      <c r="A9" s="576" t="s">
        <v>574</v>
      </c>
      <c r="B9" s="576">
        <v>26</v>
      </c>
      <c r="C9" s="576">
        <v>26</v>
      </c>
      <c r="D9" s="576" t="s">
        <v>584</v>
      </c>
      <c r="E9" s="576" t="s">
        <v>587</v>
      </c>
      <c r="F9" s="576"/>
      <c r="G9" s="576" t="s">
        <v>587</v>
      </c>
      <c r="H9" s="606" t="s">
        <v>380</v>
      </c>
      <c r="I9" s="576" t="s">
        <v>375</v>
      </c>
      <c r="J9" s="576"/>
      <c r="K9" s="576">
        <v>3</v>
      </c>
      <c r="L9" s="605">
        <v>6</v>
      </c>
      <c r="M9" s="576"/>
      <c r="N9" s="576"/>
      <c r="O9" s="576" t="s">
        <v>359</v>
      </c>
      <c r="P9" s="576" t="s">
        <v>360</v>
      </c>
      <c r="Q9" s="605" t="s">
        <v>555</v>
      </c>
      <c r="R9" s="576" t="s">
        <v>362</v>
      </c>
      <c r="S9" s="576">
        <v>3</v>
      </c>
      <c r="T9" s="576" t="s">
        <v>388</v>
      </c>
      <c r="U9" s="576" t="s">
        <v>389</v>
      </c>
      <c r="V9" s="576" t="s">
        <v>359</v>
      </c>
      <c r="W9" s="576" t="s">
        <v>360</v>
      </c>
      <c r="X9" s="578"/>
      <c r="Y9" s="576"/>
      <c r="Z9" s="576"/>
      <c r="AA9" s="577"/>
      <c r="AB9" s="576"/>
      <c r="AC9" s="576"/>
      <c r="AD9" s="576"/>
      <c r="AE9" s="578" t="s">
        <v>419</v>
      </c>
      <c r="AF9" s="579" t="s">
        <v>105</v>
      </c>
      <c r="AG9" s="574">
        <v>64</v>
      </c>
      <c r="AH9" s="654">
        <v>28</v>
      </c>
      <c r="AI9" s="581">
        <v>1950</v>
      </c>
      <c r="AJ9" s="581">
        <v>245.7</v>
      </c>
      <c r="AK9" s="581">
        <v>1950</v>
      </c>
      <c r="AL9" s="581">
        <v>0</v>
      </c>
    </row>
    <row r="10" spans="1:38" x14ac:dyDescent="0.2">
      <c r="A10" s="570" t="s">
        <v>574</v>
      </c>
      <c r="B10" s="570">
        <v>27</v>
      </c>
      <c r="C10" s="570">
        <v>27</v>
      </c>
      <c r="D10" s="570" t="s">
        <v>584</v>
      </c>
      <c r="E10" s="570" t="s">
        <v>587</v>
      </c>
      <c r="F10" s="570"/>
      <c r="G10" s="570" t="s">
        <v>587</v>
      </c>
      <c r="H10" s="606" t="s">
        <v>380</v>
      </c>
      <c r="I10" s="570" t="s">
        <v>375</v>
      </c>
      <c r="J10" s="570"/>
      <c r="K10" s="570">
        <v>4</v>
      </c>
      <c r="L10" s="605">
        <v>8</v>
      </c>
      <c r="M10" s="570"/>
      <c r="N10" s="570"/>
      <c r="O10" s="570" t="s">
        <v>359</v>
      </c>
      <c r="P10" s="570" t="s">
        <v>360</v>
      </c>
      <c r="Q10" s="605" t="s">
        <v>555</v>
      </c>
      <c r="R10" s="570" t="s">
        <v>362</v>
      </c>
      <c r="S10" s="570">
        <v>4</v>
      </c>
      <c r="T10" s="570" t="s">
        <v>427</v>
      </c>
      <c r="U10" s="570" t="s">
        <v>428</v>
      </c>
      <c r="V10" s="570" t="s">
        <v>359</v>
      </c>
      <c r="W10" s="570" t="s">
        <v>360</v>
      </c>
      <c r="X10" s="572"/>
      <c r="Y10" s="570"/>
      <c r="Z10" s="570"/>
      <c r="AA10" s="571"/>
      <c r="AB10" s="570"/>
      <c r="AC10" s="570"/>
      <c r="AD10" s="570"/>
      <c r="AE10" s="572" t="s">
        <v>419</v>
      </c>
      <c r="AF10" s="573" t="s">
        <v>105</v>
      </c>
      <c r="AG10" s="574">
        <v>64</v>
      </c>
      <c r="AH10" s="654">
        <v>28</v>
      </c>
      <c r="AI10" s="575">
        <v>1950</v>
      </c>
      <c r="AJ10" s="575">
        <v>327.60000000000002</v>
      </c>
      <c r="AK10" s="575">
        <v>1950</v>
      </c>
      <c r="AL10" s="575">
        <v>0</v>
      </c>
    </row>
    <row r="11" spans="1:38" x14ac:dyDescent="0.2">
      <c r="A11" s="576" t="s">
        <v>574</v>
      </c>
      <c r="B11" s="576">
        <v>28</v>
      </c>
      <c r="C11" s="576">
        <v>28</v>
      </c>
      <c r="D11" s="576" t="s">
        <v>584</v>
      </c>
      <c r="E11" s="576" t="s">
        <v>477</v>
      </c>
      <c r="F11" s="576"/>
      <c r="G11" s="576" t="s">
        <v>407</v>
      </c>
      <c r="H11" s="606" t="s">
        <v>380</v>
      </c>
      <c r="I11" s="576" t="s">
        <v>358</v>
      </c>
      <c r="J11" s="576"/>
      <c r="K11" s="576">
        <v>20</v>
      </c>
      <c r="L11" s="605">
        <v>40</v>
      </c>
      <c r="M11" s="576"/>
      <c r="N11" s="576"/>
      <c r="O11" s="576" t="s">
        <v>359</v>
      </c>
      <c r="P11" s="576" t="s">
        <v>360</v>
      </c>
      <c r="Q11" s="605" t="s">
        <v>555</v>
      </c>
      <c r="R11" s="576" t="s">
        <v>362</v>
      </c>
      <c r="S11" s="576">
        <v>20</v>
      </c>
      <c r="T11" s="576" t="s">
        <v>459</v>
      </c>
      <c r="U11" s="576" t="s">
        <v>460</v>
      </c>
      <c r="V11" s="576" t="s">
        <v>359</v>
      </c>
      <c r="W11" s="576" t="s">
        <v>360</v>
      </c>
      <c r="X11" s="578" t="s">
        <v>364</v>
      </c>
      <c r="Y11" s="576">
        <v>1</v>
      </c>
      <c r="Z11" s="576">
        <v>1</v>
      </c>
      <c r="AA11" s="577"/>
      <c r="AB11" s="576"/>
      <c r="AC11" s="576"/>
      <c r="AD11" s="576"/>
      <c r="AE11" s="578" t="s">
        <v>557</v>
      </c>
      <c r="AF11" s="579" t="s">
        <v>105</v>
      </c>
      <c r="AG11" s="574">
        <v>64</v>
      </c>
      <c r="AH11" s="654">
        <v>28</v>
      </c>
      <c r="AI11" s="581">
        <v>1950</v>
      </c>
      <c r="AJ11" s="581">
        <v>1638</v>
      </c>
      <c r="AK11" s="581">
        <v>1560</v>
      </c>
      <c r="AL11" s="581">
        <v>171.6</v>
      </c>
    </row>
    <row r="12" spans="1:38" x14ac:dyDescent="0.2">
      <c r="A12" s="570" t="s">
        <v>574</v>
      </c>
      <c r="B12" s="570">
        <v>29</v>
      </c>
      <c r="C12" s="570">
        <v>29</v>
      </c>
      <c r="D12" s="570" t="s">
        <v>584</v>
      </c>
      <c r="E12" s="570" t="s">
        <v>477</v>
      </c>
      <c r="F12" s="570"/>
      <c r="G12" s="570" t="s">
        <v>588</v>
      </c>
      <c r="H12" s="606" t="s">
        <v>380</v>
      </c>
      <c r="I12" s="570" t="s">
        <v>358</v>
      </c>
      <c r="J12" s="570"/>
      <c r="K12" s="570">
        <v>3</v>
      </c>
      <c r="L12" s="605">
        <v>6</v>
      </c>
      <c r="M12" s="570"/>
      <c r="N12" s="570"/>
      <c r="O12" s="570" t="s">
        <v>359</v>
      </c>
      <c r="P12" s="570" t="s">
        <v>360</v>
      </c>
      <c r="Q12" s="605" t="s">
        <v>555</v>
      </c>
      <c r="R12" s="570" t="s">
        <v>362</v>
      </c>
      <c r="S12" s="570">
        <v>3</v>
      </c>
      <c r="T12" s="570" t="s">
        <v>388</v>
      </c>
      <c r="U12" s="570" t="s">
        <v>389</v>
      </c>
      <c r="V12" s="570" t="s">
        <v>359</v>
      </c>
      <c r="W12" s="570" t="s">
        <v>360</v>
      </c>
      <c r="X12" s="572" t="s">
        <v>369</v>
      </c>
      <c r="Y12" s="570">
        <v>1</v>
      </c>
      <c r="Z12" s="570">
        <v>1</v>
      </c>
      <c r="AA12" s="571"/>
      <c r="AB12" s="570"/>
      <c r="AC12" s="570"/>
      <c r="AD12" s="570"/>
      <c r="AE12" s="572" t="s">
        <v>557</v>
      </c>
      <c r="AF12" s="573" t="s">
        <v>105</v>
      </c>
      <c r="AG12" s="574">
        <v>64</v>
      </c>
      <c r="AH12" s="654">
        <v>28</v>
      </c>
      <c r="AI12" s="575">
        <v>1950</v>
      </c>
      <c r="AJ12" s="575">
        <v>245.7</v>
      </c>
      <c r="AK12" s="575">
        <v>1560</v>
      </c>
      <c r="AL12" s="575">
        <v>25.74</v>
      </c>
    </row>
    <row r="13" spans="1:38" x14ac:dyDescent="0.2">
      <c r="A13" s="576" t="s">
        <v>574</v>
      </c>
      <c r="B13" s="576">
        <v>30</v>
      </c>
      <c r="C13" s="576">
        <v>30</v>
      </c>
      <c r="D13" s="576" t="s">
        <v>584</v>
      </c>
      <c r="E13" s="576" t="s">
        <v>398</v>
      </c>
      <c r="F13" s="576"/>
      <c r="G13" s="576" t="s">
        <v>582</v>
      </c>
      <c r="H13" s="606" t="s">
        <v>380</v>
      </c>
      <c r="I13" s="576" t="s">
        <v>368</v>
      </c>
      <c r="J13" s="576"/>
      <c r="K13" s="576">
        <v>3</v>
      </c>
      <c r="L13" s="605">
        <v>6</v>
      </c>
      <c r="M13" s="576"/>
      <c r="N13" s="576"/>
      <c r="O13" s="576" t="s">
        <v>359</v>
      </c>
      <c r="P13" s="576" t="s">
        <v>360</v>
      </c>
      <c r="Q13" s="605" t="s">
        <v>555</v>
      </c>
      <c r="R13" s="576" t="s">
        <v>362</v>
      </c>
      <c r="S13" s="576">
        <v>3</v>
      </c>
      <c r="T13" s="576" t="s">
        <v>388</v>
      </c>
      <c r="U13" s="576" t="s">
        <v>389</v>
      </c>
      <c r="V13" s="576" t="s">
        <v>359</v>
      </c>
      <c r="W13" s="576" t="s">
        <v>360</v>
      </c>
      <c r="X13" s="578" t="s">
        <v>369</v>
      </c>
      <c r="Y13" s="576">
        <v>1</v>
      </c>
      <c r="Z13" s="576">
        <v>1</v>
      </c>
      <c r="AA13" s="577"/>
      <c r="AB13" s="576"/>
      <c r="AC13" s="576"/>
      <c r="AD13" s="576"/>
      <c r="AE13" s="578" t="s">
        <v>419</v>
      </c>
      <c r="AF13" s="579" t="s">
        <v>105</v>
      </c>
      <c r="AG13" s="574">
        <v>64</v>
      </c>
      <c r="AH13" s="654">
        <v>28</v>
      </c>
      <c r="AI13" s="581">
        <v>2340</v>
      </c>
      <c r="AJ13" s="581">
        <v>294.83999999999997</v>
      </c>
      <c r="AK13" s="581">
        <v>1872</v>
      </c>
      <c r="AL13" s="581">
        <v>30.888000000000002</v>
      </c>
    </row>
    <row r="14" spans="1:38" x14ac:dyDescent="0.2">
      <c r="A14" s="570" t="s">
        <v>574</v>
      </c>
      <c r="B14" s="570">
        <v>31</v>
      </c>
      <c r="C14" s="570">
        <v>31</v>
      </c>
      <c r="D14" s="570" t="s">
        <v>584</v>
      </c>
      <c r="E14" s="570" t="s">
        <v>399</v>
      </c>
      <c r="F14" s="570"/>
      <c r="G14" s="570" t="s">
        <v>582</v>
      </c>
      <c r="H14" s="606" t="s">
        <v>380</v>
      </c>
      <c r="I14" s="570" t="s">
        <v>368</v>
      </c>
      <c r="J14" s="570"/>
      <c r="K14" s="570">
        <v>3</v>
      </c>
      <c r="L14" s="605">
        <v>6</v>
      </c>
      <c r="M14" s="570"/>
      <c r="N14" s="570"/>
      <c r="O14" s="570" t="s">
        <v>359</v>
      </c>
      <c r="P14" s="570" t="s">
        <v>360</v>
      </c>
      <c r="Q14" s="605" t="s">
        <v>555</v>
      </c>
      <c r="R14" s="570" t="s">
        <v>362</v>
      </c>
      <c r="S14" s="570">
        <v>3</v>
      </c>
      <c r="T14" s="570" t="s">
        <v>388</v>
      </c>
      <c r="U14" s="570" t="s">
        <v>389</v>
      </c>
      <c r="V14" s="570" t="s">
        <v>359</v>
      </c>
      <c r="W14" s="570" t="s">
        <v>360</v>
      </c>
      <c r="X14" s="572" t="s">
        <v>369</v>
      </c>
      <c r="Y14" s="570">
        <v>1</v>
      </c>
      <c r="Z14" s="570">
        <v>1</v>
      </c>
      <c r="AA14" s="571"/>
      <c r="AB14" s="570"/>
      <c r="AC14" s="570"/>
      <c r="AD14" s="570"/>
      <c r="AE14" s="572" t="s">
        <v>419</v>
      </c>
      <c r="AF14" s="573" t="s">
        <v>105</v>
      </c>
      <c r="AG14" s="574">
        <v>64</v>
      </c>
      <c r="AH14" s="654">
        <v>28</v>
      </c>
      <c r="AI14" s="575">
        <v>2340</v>
      </c>
      <c r="AJ14" s="575">
        <v>294.83999999999997</v>
      </c>
      <c r="AK14" s="575">
        <v>1872</v>
      </c>
      <c r="AL14" s="575">
        <v>30.888000000000002</v>
      </c>
    </row>
    <row r="15" spans="1:38" x14ac:dyDescent="0.2">
      <c r="A15" s="576" t="s">
        <v>574</v>
      </c>
      <c r="B15" s="576">
        <v>32</v>
      </c>
      <c r="C15" s="576">
        <v>32</v>
      </c>
      <c r="D15" s="576" t="s">
        <v>584</v>
      </c>
      <c r="E15" s="576" t="s">
        <v>475</v>
      </c>
      <c r="F15" s="576"/>
      <c r="G15" s="576" t="s">
        <v>407</v>
      </c>
      <c r="H15" s="606" t="s">
        <v>380</v>
      </c>
      <c r="I15" s="576" t="s">
        <v>358</v>
      </c>
      <c r="J15" s="576"/>
      <c r="K15" s="576">
        <v>21</v>
      </c>
      <c r="L15" s="605">
        <v>42</v>
      </c>
      <c r="M15" s="576"/>
      <c r="N15" s="576"/>
      <c r="O15" s="576" t="s">
        <v>359</v>
      </c>
      <c r="P15" s="576" t="s">
        <v>360</v>
      </c>
      <c r="Q15" s="605" t="s">
        <v>555</v>
      </c>
      <c r="R15" s="576" t="s">
        <v>362</v>
      </c>
      <c r="S15" s="576">
        <v>21</v>
      </c>
      <c r="T15" s="576" t="s">
        <v>455</v>
      </c>
      <c r="U15" s="576" t="s">
        <v>456</v>
      </c>
      <c r="V15" s="576" t="s">
        <v>359</v>
      </c>
      <c r="W15" s="576" t="s">
        <v>360</v>
      </c>
      <c r="X15" s="578" t="s">
        <v>364</v>
      </c>
      <c r="Y15" s="576">
        <v>1</v>
      </c>
      <c r="Z15" s="576">
        <v>1</v>
      </c>
      <c r="AA15" s="577"/>
      <c r="AB15" s="576"/>
      <c r="AC15" s="576"/>
      <c r="AD15" s="576"/>
      <c r="AE15" s="578" t="s">
        <v>419</v>
      </c>
      <c r="AF15" s="579" t="s">
        <v>105</v>
      </c>
      <c r="AG15" s="574">
        <v>64</v>
      </c>
      <c r="AH15" s="654">
        <v>28</v>
      </c>
      <c r="AI15" s="581">
        <v>1950</v>
      </c>
      <c r="AJ15" s="581">
        <v>1719.9</v>
      </c>
      <c r="AK15" s="581">
        <v>1560</v>
      </c>
      <c r="AL15" s="581">
        <v>180.18</v>
      </c>
    </row>
    <row r="16" spans="1:38" x14ac:dyDescent="0.2">
      <c r="A16" s="570" t="s">
        <v>574</v>
      </c>
      <c r="B16" s="570">
        <v>33</v>
      </c>
      <c r="C16" s="570">
        <v>33</v>
      </c>
      <c r="D16" s="570" t="s">
        <v>584</v>
      </c>
      <c r="E16" s="570" t="s">
        <v>475</v>
      </c>
      <c r="F16" s="570"/>
      <c r="G16" s="570" t="s">
        <v>588</v>
      </c>
      <c r="H16" s="606" t="s">
        <v>380</v>
      </c>
      <c r="I16" s="570" t="s">
        <v>358</v>
      </c>
      <c r="J16" s="570"/>
      <c r="K16" s="570">
        <v>3</v>
      </c>
      <c r="L16" s="605">
        <v>6</v>
      </c>
      <c r="M16" s="570"/>
      <c r="N16" s="570"/>
      <c r="O16" s="570" t="s">
        <v>359</v>
      </c>
      <c r="P16" s="570" t="s">
        <v>360</v>
      </c>
      <c r="Q16" s="605" t="s">
        <v>555</v>
      </c>
      <c r="R16" s="570" t="s">
        <v>362</v>
      </c>
      <c r="S16" s="570">
        <v>3</v>
      </c>
      <c r="T16" s="570" t="s">
        <v>388</v>
      </c>
      <c r="U16" s="570" t="s">
        <v>389</v>
      </c>
      <c r="V16" s="570" t="s">
        <v>359</v>
      </c>
      <c r="W16" s="570" t="s">
        <v>360</v>
      </c>
      <c r="X16" s="572" t="s">
        <v>369</v>
      </c>
      <c r="Y16" s="570">
        <v>1</v>
      </c>
      <c r="Z16" s="570">
        <v>1</v>
      </c>
      <c r="AA16" s="571"/>
      <c r="AB16" s="570"/>
      <c r="AC16" s="570"/>
      <c r="AD16" s="570"/>
      <c r="AE16" s="572" t="s">
        <v>419</v>
      </c>
      <c r="AF16" s="573" t="s">
        <v>105</v>
      </c>
      <c r="AG16" s="574">
        <v>64</v>
      </c>
      <c r="AH16" s="654">
        <v>28</v>
      </c>
      <c r="AI16" s="575">
        <v>1950</v>
      </c>
      <c r="AJ16" s="575">
        <v>245.7</v>
      </c>
      <c r="AK16" s="575">
        <v>1560</v>
      </c>
      <c r="AL16" s="575">
        <v>25.74</v>
      </c>
    </row>
    <row r="17" spans="1:38" x14ac:dyDescent="0.2">
      <c r="A17" s="576" t="s">
        <v>574</v>
      </c>
      <c r="B17" s="576">
        <v>34</v>
      </c>
      <c r="C17" s="576">
        <v>34</v>
      </c>
      <c r="D17" s="576" t="s">
        <v>584</v>
      </c>
      <c r="E17" s="576" t="s">
        <v>476</v>
      </c>
      <c r="F17" s="576"/>
      <c r="G17" s="576" t="s">
        <v>407</v>
      </c>
      <c r="H17" s="606" t="s">
        <v>380</v>
      </c>
      <c r="I17" s="576" t="s">
        <v>358</v>
      </c>
      <c r="J17" s="576"/>
      <c r="K17" s="576">
        <v>22</v>
      </c>
      <c r="L17" s="605">
        <v>44</v>
      </c>
      <c r="M17" s="576"/>
      <c r="N17" s="576"/>
      <c r="O17" s="576" t="s">
        <v>359</v>
      </c>
      <c r="P17" s="576" t="s">
        <v>360</v>
      </c>
      <c r="Q17" s="605" t="s">
        <v>555</v>
      </c>
      <c r="R17" s="576" t="s">
        <v>362</v>
      </c>
      <c r="S17" s="576">
        <v>22</v>
      </c>
      <c r="T17" s="576" t="s">
        <v>429</v>
      </c>
      <c r="U17" s="576" t="s">
        <v>376</v>
      </c>
      <c r="V17" s="576" t="s">
        <v>359</v>
      </c>
      <c r="W17" s="576" t="s">
        <v>360</v>
      </c>
      <c r="X17" s="578" t="s">
        <v>364</v>
      </c>
      <c r="Y17" s="576">
        <v>1</v>
      </c>
      <c r="Z17" s="576">
        <v>1</v>
      </c>
      <c r="AA17" s="577"/>
      <c r="AB17" s="576"/>
      <c r="AC17" s="576"/>
      <c r="AD17" s="576"/>
      <c r="AE17" s="578" t="s">
        <v>557</v>
      </c>
      <c r="AF17" s="579" t="s">
        <v>105</v>
      </c>
      <c r="AG17" s="574">
        <v>64</v>
      </c>
      <c r="AH17" s="654">
        <v>28</v>
      </c>
      <c r="AI17" s="581">
        <v>1950</v>
      </c>
      <c r="AJ17" s="581">
        <v>1801.8</v>
      </c>
      <c r="AK17" s="581">
        <v>1560</v>
      </c>
      <c r="AL17" s="581">
        <v>188.76</v>
      </c>
    </row>
    <row r="18" spans="1:38" x14ac:dyDescent="0.2">
      <c r="A18" s="570" t="s">
        <v>574</v>
      </c>
      <c r="B18" s="570">
        <v>35</v>
      </c>
      <c r="C18" s="570">
        <v>35</v>
      </c>
      <c r="D18" s="570" t="s">
        <v>584</v>
      </c>
      <c r="E18" s="570" t="s">
        <v>476</v>
      </c>
      <c r="F18" s="570"/>
      <c r="G18" s="570" t="s">
        <v>588</v>
      </c>
      <c r="H18" s="606" t="s">
        <v>380</v>
      </c>
      <c r="I18" s="570" t="s">
        <v>358</v>
      </c>
      <c r="J18" s="570"/>
      <c r="K18" s="570">
        <v>3</v>
      </c>
      <c r="L18" s="605">
        <v>6</v>
      </c>
      <c r="M18" s="570"/>
      <c r="N18" s="570"/>
      <c r="O18" s="570" t="s">
        <v>359</v>
      </c>
      <c r="P18" s="570" t="s">
        <v>360</v>
      </c>
      <c r="Q18" s="605" t="s">
        <v>555</v>
      </c>
      <c r="R18" s="570" t="s">
        <v>362</v>
      </c>
      <c r="S18" s="570">
        <v>3</v>
      </c>
      <c r="T18" s="570" t="s">
        <v>388</v>
      </c>
      <c r="U18" s="570" t="s">
        <v>389</v>
      </c>
      <c r="V18" s="570" t="s">
        <v>359</v>
      </c>
      <c r="W18" s="570" t="s">
        <v>360</v>
      </c>
      <c r="X18" s="572" t="s">
        <v>369</v>
      </c>
      <c r="Y18" s="570">
        <v>1</v>
      </c>
      <c r="Z18" s="570">
        <v>1</v>
      </c>
      <c r="AA18" s="571"/>
      <c r="AB18" s="570"/>
      <c r="AC18" s="570"/>
      <c r="AD18" s="570"/>
      <c r="AE18" s="572" t="s">
        <v>557</v>
      </c>
      <c r="AF18" s="573" t="s">
        <v>105</v>
      </c>
      <c r="AG18" s="574">
        <v>64</v>
      </c>
      <c r="AH18" s="654">
        <v>28</v>
      </c>
      <c r="AI18" s="575">
        <v>1950</v>
      </c>
      <c r="AJ18" s="575">
        <v>245.7</v>
      </c>
      <c r="AK18" s="575">
        <v>1560</v>
      </c>
      <c r="AL18" s="575">
        <v>25.74</v>
      </c>
    </row>
    <row r="19" spans="1:38" x14ac:dyDescent="0.2">
      <c r="A19" s="570" t="s">
        <v>574</v>
      </c>
      <c r="B19" s="570">
        <v>37</v>
      </c>
      <c r="C19" s="570">
        <v>37</v>
      </c>
      <c r="D19" s="570" t="s">
        <v>584</v>
      </c>
      <c r="E19" s="570" t="s">
        <v>589</v>
      </c>
      <c r="F19" s="570"/>
      <c r="G19" s="570" t="s">
        <v>503</v>
      </c>
      <c r="H19" s="606" t="s">
        <v>380</v>
      </c>
      <c r="I19" s="570" t="s">
        <v>558</v>
      </c>
      <c r="J19" s="570"/>
      <c r="K19" s="570">
        <v>2</v>
      </c>
      <c r="L19" s="605">
        <v>4</v>
      </c>
      <c r="M19" s="570"/>
      <c r="N19" s="570"/>
      <c r="O19" s="570" t="s">
        <v>359</v>
      </c>
      <c r="P19" s="570" t="s">
        <v>360</v>
      </c>
      <c r="Q19" s="605" t="s">
        <v>555</v>
      </c>
      <c r="R19" s="570" t="s">
        <v>362</v>
      </c>
      <c r="S19" s="570">
        <v>2</v>
      </c>
      <c r="T19" s="570" t="s">
        <v>391</v>
      </c>
      <c r="U19" s="570" t="s">
        <v>392</v>
      </c>
      <c r="V19" s="570" t="s">
        <v>359</v>
      </c>
      <c r="W19" s="570" t="s">
        <v>360</v>
      </c>
      <c r="X19" s="572"/>
      <c r="Y19" s="570"/>
      <c r="Z19" s="570"/>
      <c r="AA19" s="571"/>
      <c r="AB19" s="570"/>
      <c r="AC19" s="570"/>
      <c r="AD19" s="570"/>
      <c r="AE19" s="572" t="s">
        <v>450</v>
      </c>
      <c r="AF19" s="573" t="s">
        <v>105</v>
      </c>
      <c r="AG19" s="574">
        <v>64</v>
      </c>
      <c r="AH19" s="654">
        <v>28</v>
      </c>
      <c r="AI19" s="575">
        <v>4380</v>
      </c>
      <c r="AJ19" s="575">
        <v>367.92</v>
      </c>
      <c r="AK19" s="575">
        <v>4380</v>
      </c>
      <c r="AL19" s="575">
        <v>0</v>
      </c>
    </row>
    <row r="20" spans="1:38" x14ac:dyDescent="0.2">
      <c r="A20" s="570" t="s">
        <v>574</v>
      </c>
      <c r="B20" s="570">
        <v>43</v>
      </c>
      <c r="C20" s="570">
        <v>43</v>
      </c>
      <c r="D20" s="570" t="s">
        <v>590</v>
      </c>
      <c r="E20" s="570" t="s">
        <v>49</v>
      </c>
      <c r="F20" s="570"/>
      <c r="G20" s="570" t="s">
        <v>49</v>
      </c>
      <c r="H20" s="606" t="s">
        <v>380</v>
      </c>
      <c r="I20" s="570" t="s">
        <v>374</v>
      </c>
      <c r="J20" s="570"/>
      <c r="K20" s="570">
        <v>1</v>
      </c>
      <c r="L20" s="605">
        <v>2</v>
      </c>
      <c r="M20" s="570"/>
      <c r="N20" s="570"/>
      <c r="O20" s="570" t="s">
        <v>359</v>
      </c>
      <c r="P20" s="570" t="s">
        <v>360</v>
      </c>
      <c r="Q20" s="605" t="s">
        <v>555</v>
      </c>
      <c r="R20" s="570" t="s">
        <v>362</v>
      </c>
      <c r="S20" s="570">
        <v>1</v>
      </c>
      <c r="T20" s="570" t="s">
        <v>395</v>
      </c>
      <c r="U20" s="570" t="s">
        <v>396</v>
      </c>
      <c r="V20" s="570" t="s">
        <v>359</v>
      </c>
      <c r="W20" s="570" t="s">
        <v>360</v>
      </c>
      <c r="X20" s="572"/>
      <c r="Y20" s="570"/>
      <c r="Z20" s="570"/>
      <c r="AA20" s="571"/>
      <c r="AB20" s="570"/>
      <c r="AC20" s="570"/>
      <c r="AD20" s="570"/>
      <c r="AE20" s="572"/>
      <c r="AF20" s="573" t="s">
        <v>105</v>
      </c>
      <c r="AG20" s="574">
        <v>64</v>
      </c>
      <c r="AH20" s="654">
        <v>28</v>
      </c>
      <c r="AI20" s="575">
        <v>1560</v>
      </c>
      <c r="AJ20" s="575">
        <v>65.52</v>
      </c>
      <c r="AK20" s="575">
        <v>1560</v>
      </c>
      <c r="AL20" s="575">
        <v>0</v>
      </c>
    </row>
    <row r="21" spans="1:38" x14ac:dyDescent="0.2">
      <c r="A21" s="570" t="s">
        <v>574</v>
      </c>
      <c r="B21" s="570">
        <v>45</v>
      </c>
      <c r="C21" s="570">
        <v>45</v>
      </c>
      <c r="D21" s="570" t="s">
        <v>590</v>
      </c>
      <c r="E21" s="570" t="s">
        <v>591</v>
      </c>
      <c r="F21" s="570"/>
      <c r="G21" s="570" t="s">
        <v>591</v>
      </c>
      <c r="H21" s="606" t="s">
        <v>380</v>
      </c>
      <c r="I21" s="570" t="s">
        <v>358</v>
      </c>
      <c r="J21" s="570"/>
      <c r="K21" s="570">
        <v>1</v>
      </c>
      <c r="L21" s="605">
        <v>2</v>
      </c>
      <c r="M21" s="570"/>
      <c r="N21" s="570"/>
      <c r="O21" s="570" t="s">
        <v>359</v>
      </c>
      <c r="P21" s="570" t="s">
        <v>360</v>
      </c>
      <c r="Q21" s="605" t="s">
        <v>555</v>
      </c>
      <c r="R21" s="570" t="s">
        <v>362</v>
      </c>
      <c r="S21" s="570">
        <v>1</v>
      </c>
      <c r="T21" s="570" t="s">
        <v>395</v>
      </c>
      <c r="U21" s="570" t="s">
        <v>396</v>
      </c>
      <c r="V21" s="570" t="s">
        <v>359</v>
      </c>
      <c r="W21" s="570" t="s">
        <v>360</v>
      </c>
      <c r="X21" s="572" t="s">
        <v>369</v>
      </c>
      <c r="Y21" s="570">
        <v>1</v>
      </c>
      <c r="Z21" s="570">
        <v>1</v>
      </c>
      <c r="AA21" s="571"/>
      <c r="AB21" s="570"/>
      <c r="AC21" s="570"/>
      <c r="AD21" s="570"/>
      <c r="AE21" s="572" t="s">
        <v>559</v>
      </c>
      <c r="AF21" s="573" t="s">
        <v>105</v>
      </c>
      <c r="AG21" s="574">
        <v>64</v>
      </c>
      <c r="AH21" s="654">
        <v>28</v>
      </c>
      <c r="AI21" s="575">
        <v>180</v>
      </c>
      <c r="AJ21" s="575">
        <v>7.56</v>
      </c>
      <c r="AK21" s="575">
        <v>144</v>
      </c>
      <c r="AL21" s="575">
        <v>0.79200000000000004</v>
      </c>
    </row>
    <row r="22" spans="1:38" x14ac:dyDescent="0.2">
      <c r="A22" s="576" t="s">
        <v>574</v>
      </c>
      <c r="B22" s="576">
        <v>46</v>
      </c>
      <c r="C22" s="576">
        <v>46</v>
      </c>
      <c r="D22" s="576" t="s">
        <v>590</v>
      </c>
      <c r="E22" s="576" t="s">
        <v>592</v>
      </c>
      <c r="F22" s="576"/>
      <c r="G22" s="576" t="s">
        <v>592</v>
      </c>
      <c r="H22" s="606" t="s">
        <v>380</v>
      </c>
      <c r="I22" s="576" t="s">
        <v>358</v>
      </c>
      <c r="J22" s="576"/>
      <c r="K22" s="576">
        <v>9</v>
      </c>
      <c r="L22" s="605">
        <v>18</v>
      </c>
      <c r="M22" s="576"/>
      <c r="N22" s="576"/>
      <c r="O22" s="576" t="s">
        <v>359</v>
      </c>
      <c r="P22" s="576" t="s">
        <v>360</v>
      </c>
      <c r="Q22" s="605" t="s">
        <v>555</v>
      </c>
      <c r="R22" s="576" t="s">
        <v>362</v>
      </c>
      <c r="S22" s="576">
        <v>9</v>
      </c>
      <c r="T22" s="576" t="s">
        <v>542</v>
      </c>
      <c r="U22" s="576" t="s">
        <v>543</v>
      </c>
      <c r="V22" s="576" t="s">
        <v>359</v>
      </c>
      <c r="W22" s="576" t="s">
        <v>360</v>
      </c>
      <c r="X22" s="578" t="s">
        <v>364</v>
      </c>
      <c r="Y22" s="576">
        <v>1</v>
      </c>
      <c r="Z22" s="576">
        <v>2</v>
      </c>
      <c r="AA22" s="577"/>
      <c r="AB22" s="576"/>
      <c r="AC22" s="576"/>
      <c r="AD22" s="576"/>
      <c r="AE22" s="578" t="s">
        <v>560</v>
      </c>
      <c r="AF22" s="579" t="s">
        <v>105</v>
      </c>
      <c r="AG22" s="574">
        <v>64</v>
      </c>
      <c r="AH22" s="654">
        <v>28</v>
      </c>
      <c r="AI22" s="581">
        <v>2160</v>
      </c>
      <c r="AJ22" s="581">
        <v>816.48</v>
      </c>
      <c r="AK22" s="581">
        <v>1728</v>
      </c>
      <c r="AL22" s="581">
        <v>85.536000000000001</v>
      </c>
    </row>
    <row r="23" spans="1:38" x14ac:dyDescent="0.2">
      <c r="A23" s="570" t="s">
        <v>574</v>
      </c>
      <c r="B23" s="570">
        <v>47</v>
      </c>
      <c r="C23" s="570">
        <v>47</v>
      </c>
      <c r="D23" s="570" t="s">
        <v>590</v>
      </c>
      <c r="E23" s="570" t="s">
        <v>593</v>
      </c>
      <c r="F23" s="570"/>
      <c r="G23" s="570" t="s">
        <v>483</v>
      </c>
      <c r="H23" s="606" t="s">
        <v>380</v>
      </c>
      <c r="I23" s="570" t="s">
        <v>358</v>
      </c>
      <c r="J23" s="570"/>
      <c r="K23" s="570">
        <v>4</v>
      </c>
      <c r="L23" s="605">
        <v>8</v>
      </c>
      <c r="M23" s="570"/>
      <c r="N23" s="570"/>
      <c r="O23" s="570" t="s">
        <v>359</v>
      </c>
      <c r="P23" s="570" t="s">
        <v>360</v>
      </c>
      <c r="Q23" s="605" t="s">
        <v>555</v>
      </c>
      <c r="R23" s="570" t="s">
        <v>362</v>
      </c>
      <c r="S23" s="570">
        <v>4</v>
      </c>
      <c r="T23" s="570" t="s">
        <v>427</v>
      </c>
      <c r="U23" s="570" t="s">
        <v>428</v>
      </c>
      <c r="V23" s="570" t="s">
        <v>359</v>
      </c>
      <c r="W23" s="570" t="s">
        <v>360</v>
      </c>
      <c r="X23" s="572"/>
      <c r="Y23" s="570"/>
      <c r="Z23" s="570"/>
      <c r="AA23" s="571"/>
      <c r="AB23" s="570"/>
      <c r="AC23" s="570"/>
      <c r="AD23" s="570"/>
      <c r="AE23" s="572"/>
      <c r="AF23" s="573" t="s">
        <v>105</v>
      </c>
      <c r="AG23" s="574">
        <v>64</v>
      </c>
      <c r="AH23" s="654">
        <v>28</v>
      </c>
      <c r="AI23" s="575">
        <v>2340</v>
      </c>
      <c r="AJ23" s="575">
        <v>393.12</v>
      </c>
      <c r="AK23" s="575">
        <v>2340</v>
      </c>
      <c r="AL23" s="575">
        <v>0</v>
      </c>
    </row>
    <row r="24" spans="1:38" x14ac:dyDescent="0.2">
      <c r="A24" s="576" t="s">
        <v>574</v>
      </c>
      <c r="B24" s="576">
        <v>48</v>
      </c>
      <c r="C24" s="576">
        <v>48</v>
      </c>
      <c r="D24" s="576" t="s">
        <v>590</v>
      </c>
      <c r="E24" s="576" t="s">
        <v>586</v>
      </c>
      <c r="F24" s="576"/>
      <c r="G24" s="576" t="s">
        <v>483</v>
      </c>
      <c r="H24" s="606" t="s">
        <v>380</v>
      </c>
      <c r="I24" s="576" t="s">
        <v>358</v>
      </c>
      <c r="J24" s="576"/>
      <c r="K24" s="576">
        <v>12</v>
      </c>
      <c r="L24" s="605">
        <v>24</v>
      </c>
      <c r="M24" s="576"/>
      <c r="N24" s="576"/>
      <c r="O24" s="576" t="s">
        <v>359</v>
      </c>
      <c r="P24" s="576" t="s">
        <v>360</v>
      </c>
      <c r="Q24" s="605" t="s">
        <v>555</v>
      </c>
      <c r="R24" s="576" t="s">
        <v>362</v>
      </c>
      <c r="S24" s="576">
        <v>12</v>
      </c>
      <c r="T24" s="576" t="s">
        <v>439</v>
      </c>
      <c r="U24" s="576" t="s">
        <v>440</v>
      </c>
      <c r="V24" s="576" t="s">
        <v>359</v>
      </c>
      <c r="W24" s="576" t="s">
        <v>360</v>
      </c>
      <c r="X24" s="578"/>
      <c r="Y24" s="576"/>
      <c r="Z24" s="576"/>
      <c r="AA24" s="577"/>
      <c r="AB24" s="576"/>
      <c r="AC24" s="576"/>
      <c r="AD24" s="576"/>
      <c r="AE24" s="578" t="s">
        <v>450</v>
      </c>
      <c r="AF24" s="579" t="s">
        <v>105</v>
      </c>
      <c r="AG24" s="574">
        <v>64</v>
      </c>
      <c r="AH24" s="654">
        <v>28</v>
      </c>
      <c r="AI24" s="581">
        <v>2340</v>
      </c>
      <c r="AJ24" s="581">
        <v>1179.3599999999999</v>
      </c>
      <c r="AK24" s="581">
        <v>2340</v>
      </c>
      <c r="AL24" s="581">
        <v>0</v>
      </c>
    </row>
    <row r="25" spans="1:38" x14ac:dyDescent="0.2">
      <c r="A25" s="570" t="s">
        <v>574</v>
      </c>
      <c r="B25" s="570">
        <v>49</v>
      </c>
      <c r="C25" s="570">
        <v>49</v>
      </c>
      <c r="D25" s="570" t="s">
        <v>590</v>
      </c>
      <c r="E25" s="570" t="s">
        <v>397</v>
      </c>
      <c r="F25" s="570"/>
      <c r="G25" s="570" t="s">
        <v>483</v>
      </c>
      <c r="H25" s="606" t="s">
        <v>380</v>
      </c>
      <c r="I25" s="570" t="s">
        <v>358</v>
      </c>
      <c r="J25" s="570"/>
      <c r="K25" s="570">
        <v>2</v>
      </c>
      <c r="L25" s="605">
        <v>4</v>
      </c>
      <c r="M25" s="570"/>
      <c r="N25" s="570"/>
      <c r="O25" s="570" t="s">
        <v>359</v>
      </c>
      <c r="P25" s="570" t="s">
        <v>360</v>
      </c>
      <c r="Q25" s="605" t="s">
        <v>555</v>
      </c>
      <c r="R25" s="570" t="s">
        <v>362</v>
      </c>
      <c r="S25" s="570">
        <v>2</v>
      </c>
      <c r="T25" s="570" t="s">
        <v>391</v>
      </c>
      <c r="U25" s="570" t="s">
        <v>392</v>
      </c>
      <c r="V25" s="570" t="s">
        <v>359</v>
      </c>
      <c r="W25" s="570" t="s">
        <v>360</v>
      </c>
      <c r="X25" s="572" t="s">
        <v>369</v>
      </c>
      <c r="Y25" s="570">
        <v>1</v>
      </c>
      <c r="Z25" s="570">
        <v>1</v>
      </c>
      <c r="AA25" s="571"/>
      <c r="AB25" s="570"/>
      <c r="AC25" s="570"/>
      <c r="AD25" s="570"/>
      <c r="AE25" s="572"/>
      <c r="AF25" s="573" t="s">
        <v>105</v>
      </c>
      <c r="AG25" s="574">
        <v>64</v>
      </c>
      <c r="AH25" s="654">
        <v>28</v>
      </c>
      <c r="AI25" s="575">
        <v>2340</v>
      </c>
      <c r="AJ25" s="575">
        <v>196.56</v>
      </c>
      <c r="AK25" s="575">
        <v>1872</v>
      </c>
      <c r="AL25" s="575">
        <v>20.591999999999999</v>
      </c>
    </row>
    <row r="26" spans="1:38" x14ac:dyDescent="0.2">
      <c r="A26" s="576" t="s">
        <v>574</v>
      </c>
      <c r="B26" s="576">
        <v>50</v>
      </c>
      <c r="C26" s="576">
        <v>50</v>
      </c>
      <c r="D26" s="576" t="s">
        <v>590</v>
      </c>
      <c r="E26" s="576" t="s">
        <v>390</v>
      </c>
      <c r="F26" s="576"/>
      <c r="G26" s="576" t="s">
        <v>483</v>
      </c>
      <c r="H26" s="606" t="s">
        <v>380</v>
      </c>
      <c r="I26" s="576" t="s">
        <v>358</v>
      </c>
      <c r="J26" s="576"/>
      <c r="K26" s="576">
        <v>4</v>
      </c>
      <c r="L26" s="605">
        <v>8</v>
      </c>
      <c r="M26" s="576"/>
      <c r="N26" s="576"/>
      <c r="O26" s="576" t="s">
        <v>359</v>
      </c>
      <c r="P26" s="576" t="s">
        <v>360</v>
      </c>
      <c r="Q26" s="605" t="s">
        <v>555</v>
      </c>
      <c r="R26" s="576" t="s">
        <v>362</v>
      </c>
      <c r="S26" s="576">
        <v>4</v>
      </c>
      <c r="T26" s="576" t="s">
        <v>427</v>
      </c>
      <c r="U26" s="576" t="s">
        <v>428</v>
      </c>
      <c r="V26" s="576" t="s">
        <v>359</v>
      </c>
      <c r="W26" s="576" t="s">
        <v>360</v>
      </c>
      <c r="X26" s="578" t="s">
        <v>369</v>
      </c>
      <c r="Y26" s="576">
        <v>1</v>
      </c>
      <c r="Z26" s="576">
        <v>1</v>
      </c>
      <c r="AA26" s="577"/>
      <c r="AB26" s="576"/>
      <c r="AC26" s="576"/>
      <c r="AD26" s="576"/>
      <c r="AE26" s="578"/>
      <c r="AF26" s="579" t="s">
        <v>105</v>
      </c>
      <c r="AG26" s="574">
        <v>64</v>
      </c>
      <c r="AH26" s="654">
        <v>28</v>
      </c>
      <c r="AI26" s="581">
        <v>2340</v>
      </c>
      <c r="AJ26" s="581">
        <v>393.12</v>
      </c>
      <c r="AK26" s="581">
        <v>1872</v>
      </c>
      <c r="AL26" s="581">
        <v>41.183999999999997</v>
      </c>
    </row>
    <row r="27" spans="1:38" x14ac:dyDescent="0.2">
      <c r="A27" s="570" t="s">
        <v>574</v>
      </c>
      <c r="B27" s="570">
        <v>51</v>
      </c>
      <c r="C27" s="570">
        <v>51</v>
      </c>
      <c r="D27" s="570" t="s">
        <v>590</v>
      </c>
      <c r="E27" s="570" t="s">
        <v>393</v>
      </c>
      <c r="F27" s="570"/>
      <c r="G27" s="570" t="s">
        <v>483</v>
      </c>
      <c r="H27" s="606" t="s">
        <v>380</v>
      </c>
      <c r="I27" s="570" t="s">
        <v>358</v>
      </c>
      <c r="J27" s="570"/>
      <c r="K27" s="570">
        <v>2</v>
      </c>
      <c r="L27" s="605">
        <v>4</v>
      </c>
      <c r="M27" s="570"/>
      <c r="N27" s="570"/>
      <c r="O27" s="570" t="s">
        <v>359</v>
      </c>
      <c r="P27" s="570" t="s">
        <v>360</v>
      </c>
      <c r="Q27" s="605" t="s">
        <v>555</v>
      </c>
      <c r="R27" s="570" t="s">
        <v>362</v>
      </c>
      <c r="S27" s="570">
        <v>2</v>
      </c>
      <c r="T27" s="570" t="s">
        <v>391</v>
      </c>
      <c r="U27" s="570" t="s">
        <v>392</v>
      </c>
      <c r="V27" s="570" t="s">
        <v>359</v>
      </c>
      <c r="W27" s="570" t="s">
        <v>360</v>
      </c>
      <c r="X27" s="572" t="s">
        <v>369</v>
      </c>
      <c r="Y27" s="570">
        <v>1</v>
      </c>
      <c r="Z27" s="570">
        <v>1</v>
      </c>
      <c r="AA27" s="571"/>
      <c r="AB27" s="570"/>
      <c r="AC27" s="570"/>
      <c r="AD27" s="570"/>
      <c r="AE27" s="572"/>
      <c r="AF27" s="573" t="s">
        <v>105</v>
      </c>
      <c r="AG27" s="574">
        <v>64</v>
      </c>
      <c r="AH27" s="654">
        <v>28</v>
      </c>
      <c r="AI27" s="575">
        <v>2340</v>
      </c>
      <c r="AJ27" s="575">
        <v>196.56</v>
      </c>
      <c r="AK27" s="575">
        <v>1872</v>
      </c>
      <c r="AL27" s="575">
        <v>20.591999999999999</v>
      </c>
    </row>
    <row r="28" spans="1:38" x14ac:dyDescent="0.2">
      <c r="A28" s="576" t="s">
        <v>574</v>
      </c>
      <c r="B28" s="576">
        <v>52</v>
      </c>
      <c r="C28" s="576">
        <v>52</v>
      </c>
      <c r="D28" s="576" t="s">
        <v>590</v>
      </c>
      <c r="E28" s="576" t="s">
        <v>394</v>
      </c>
      <c r="F28" s="576"/>
      <c r="G28" s="576" t="s">
        <v>483</v>
      </c>
      <c r="H28" s="606" t="s">
        <v>380</v>
      </c>
      <c r="I28" s="576" t="s">
        <v>358</v>
      </c>
      <c r="J28" s="576"/>
      <c r="K28" s="576">
        <v>3</v>
      </c>
      <c r="L28" s="605">
        <v>6</v>
      </c>
      <c r="M28" s="576"/>
      <c r="N28" s="576"/>
      <c r="O28" s="576" t="s">
        <v>359</v>
      </c>
      <c r="P28" s="576" t="s">
        <v>360</v>
      </c>
      <c r="Q28" s="605" t="s">
        <v>555</v>
      </c>
      <c r="R28" s="576" t="s">
        <v>362</v>
      </c>
      <c r="S28" s="576">
        <v>3</v>
      </c>
      <c r="T28" s="576" t="s">
        <v>388</v>
      </c>
      <c r="U28" s="576" t="s">
        <v>389</v>
      </c>
      <c r="V28" s="576" t="s">
        <v>359</v>
      </c>
      <c r="W28" s="576" t="s">
        <v>360</v>
      </c>
      <c r="X28" s="578" t="s">
        <v>369</v>
      </c>
      <c r="Y28" s="576">
        <v>1</v>
      </c>
      <c r="Z28" s="576">
        <v>1</v>
      </c>
      <c r="AA28" s="577"/>
      <c r="AB28" s="576"/>
      <c r="AC28" s="576"/>
      <c r="AD28" s="576"/>
      <c r="AE28" s="578"/>
      <c r="AF28" s="579" t="s">
        <v>105</v>
      </c>
      <c r="AG28" s="574">
        <v>64</v>
      </c>
      <c r="AH28" s="654">
        <v>28</v>
      </c>
      <c r="AI28" s="581">
        <v>2340</v>
      </c>
      <c r="AJ28" s="581">
        <v>294.83999999999997</v>
      </c>
      <c r="AK28" s="581">
        <v>1872</v>
      </c>
      <c r="AL28" s="581">
        <v>30.888000000000002</v>
      </c>
    </row>
    <row r="29" spans="1:38" x14ac:dyDescent="0.2">
      <c r="A29" s="570" t="s">
        <v>574</v>
      </c>
      <c r="B29" s="570">
        <v>53</v>
      </c>
      <c r="C29" s="570">
        <v>53</v>
      </c>
      <c r="D29" s="570" t="s">
        <v>590</v>
      </c>
      <c r="E29" s="570" t="s">
        <v>594</v>
      </c>
      <c r="F29" s="570"/>
      <c r="G29" s="570" t="s">
        <v>483</v>
      </c>
      <c r="H29" s="606" t="s">
        <v>380</v>
      </c>
      <c r="I29" s="570" t="s">
        <v>358</v>
      </c>
      <c r="J29" s="570"/>
      <c r="K29" s="570">
        <v>4</v>
      </c>
      <c r="L29" s="605">
        <v>8</v>
      </c>
      <c r="M29" s="570"/>
      <c r="N29" s="570"/>
      <c r="O29" s="570" t="s">
        <v>359</v>
      </c>
      <c r="P29" s="570" t="s">
        <v>360</v>
      </c>
      <c r="Q29" s="605" t="s">
        <v>555</v>
      </c>
      <c r="R29" s="570" t="s">
        <v>362</v>
      </c>
      <c r="S29" s="570">
        <v>4</v>
      </c>
      <c r="T29" s="570" t="s">
        <v>427</v>
      </c>
      <c r="U29" s="570" t="s">
        <v>428</v>
      </c>
      <c r="V29" s="570" t="s">
        <v>359</v>
      </c>
      <c r="W29" s="570" t="s">
        <v>360</v>
      </c>
      <c r="X29" s="572" t="s">
        <v>369</v>
      </c>
      <c r="Y29" s="570">
        <v>1</v>
      </c>
      <c r="Z29" s="570">
        <v>1</v>
      </c>
      <c r="AA29" s="571"/>
      <c r="AB29" s="570"/>
      <c r="AC29" s="570"/>
      <c r="AD29" s="570"/>
      <c r="AE29" s="572"/>
      <c r="AF29" s="573" t="s">
        <v>105</v>
      </c>
      <c r="AG29" s="574">
        <v>64</v>
      </c>
      <c r="AH29" s="654">
        <v>28</v>
      </c>
      <c r="AI29" s="575">
        <v>2340</v>
      </c>
      <c r="AJ29" s="575">
        <v>393.12</v>
      </c>
      <c r="AK29" s="575">
        <v>1872</v>
      </c>
      <c r="AL29" s="575">
        <v>41.183999999999997</v>
      </c>
    </row>
    <row r="30" spans="1:38" x14ac:dyDescent="0.2">
      <c r="A30" s="576" t="s">
        <v>574</v>
      </c>
      <c r="B30" s="576">
        <v>54</v>
      </c>
      <c r="C30" s="576">
        <v>54</v>
      </c>
      <c r="D30" s="576" t="s">
        <v>590</v>
      </c>
      <c r="E30" s="576" t="s">
        <v>398</v>
      </c>
      <c r="F30" s="576"/>
      <c r="G30" s="576" t="s">
        <v>582</v>
      </c>
      <c r="H30" s="606" t="s">
        <v>380</v>
      </c>
      <c r="I30" s="576" t="s">
        <v>368</v>
      </c>
      <c r="J30" s="576"/>
      <c r="K30" s="576">
        <v>2</v>
      </c>
      <c r="L30" s="605">
        <v>4</v>
      </c>
      <c r="M30" s="576"/>
      <c r="N30" s="576"/>
      <c r="O30" s="576" t="s">
        <v>359</v>
      </c>
      <c r="P30" s="576" t="s">
        <v>360</v>
      </c>
      <c r="Q30" s="605" t="s">
        <v>555</v>
      </c>
      <c r="R30" s="576" t="s">
        <v>362</v>
      </c>
      <c r="S30" s="576">
        <v>2</v>
      </c>
      <c r="T30" s="576" t="s">
        <v>391</v>
      </c>
      <c r="U30" s="576" t="s">
        <v>392</v>
      </c>
      <c r="V30" s="576" t="s">
        <v>359</v>
      </c>
      <c r="W30" s="576" t="s">
        <v>360</v>
      </c>
      <c r="X30" s="578" t="s">
        <v>369</v>
      </c>
      <c r="Y30" s="576">
        <v>1</v>
      </c>
      <c r="Z30" s="576">
        <v>1</v>
      </c>
      <c r="AA30" s="577"/>
      <c r="AB30" s="576"/>
      <c r="AC30" s="576"/>
      <c r="AD30" s="576"/>
      <c r="AE30" s="578"/>
      <c r="AF30" s="579" t="s">
        <v>105</v>
      </c>
      <c r="AG30" s="574">
        <v>64</v>
      </c>
      <c r="AH30" s="654">
        <v>28</v>
      </c>
      <c r="AI30" s="581">
        <v>2340</v>
      </c>
      <c r="AJ30" s="581">
        <v>196.56</v>
      </c>
      <c r="AK30" s="581">
        <v>1872</v>
      </c>
      <c r="AL30" s="581">
        <v>20.591999999999999</v>
      </c>
    </row>
    <row r="31" spans="1:38" x14ac:dyDescent="0.2">
      <c r="A31" s="570" t="s">
        <v>574</v>
      </c>
      <c r="B31" s="570">
        <v>55</v>
      </c>
      <c r="C31" s="570">
        <v>55</v>
      </c>
      <c r="D31" s="570" t="s">
        <v>590</v>
      </c>
      <c r="E31" s="570" t="s">
        <v>399</v>
      </c>
      <c r="F31" s="570"/>
      <c r="G31" s="570" t="s">
        <v>582</v>
      </c>
      <c r="H31" s="606" t="s">
        <v>380</v>
      </c>
      <c r="I31" s="570" t="s">
        <v>368</v>
      </c>
      <c r="J31" s="570"/>
      <c r="K31" s="570">
        <v>2</v>
      </c>
      <c r="L31" s="605">
        <v>4</v>
      </c>
      <c r="M31" s="570"/>
      <c r="N31" s="570"/>
      <c r="O31" s="570" t="s">
        <v>359</v>
      </c>
      <c r="P31" s="570" t="s">
        <v>360</v>
      </c>
      <c r="Q31" s="605" t="s">
        <v>555</v>
      </c>
      <c r="R31" s="570" t="s">
        <v>362</v>
      </c>
      <c r="S31" s="570">
        <v>2</v>
      </c>
      <c r="T31" s="570" t="s">
        <v>391</v>
      </c>
      <c r="U31" s="570" t="s">
        <v>392</v>
      </c>
      <c r="V31" s="570" t="s">
        <v>359</v>
      </c>
      <c r="W31" s="570" t="s">
        <v>360</v>
      </c>
      <c r="X31" s="572" t="s">
        <v>369</v>
      </c>
      <c r="Y31" s="570">
        <v>1</v>
      </c>
      <c r="Z31" s="570">
        <v>1</v>
      </c>
      <c r="AA31" s="571"/>
      <c r="AB31" s="570"/>
      <c r="AC31" s="570"/>
      <c r="AD31" s="570"/>
      <c r="AE31" s="572"/>
      <c r="AF31" s="573" t="s">
        <v>105</v>
      </c>
      <c r="AG31" s="574">
        <v>64</v>
      </c>
      <c r="AH31" s="654">
        <v>28</v>
      </c>
      <c r="AI31" s="575">
        <v>2340</v>
      </c>
      <c r="AJ31" s="575">
        <v>196.56</v>
      </c>
      <c r="AK31" s="575">
        <v>1872</v>
      </c>
      <c r="AL31" s="575">
        <v>20.591999999999999</v>
      </c>
    </row>
    <row r="32" spans="1:38" x14ac:dyDescent="0.2">
      <c r="A32" s="576" t="s">
        <v>574</v>
      </c>
      <c r="B32" s="576">
        <v>56</v>
      </c>
      <c r="C32" s="576">
        <v>56</v>
      </c>
      <c r="D32" s="576" t="s">
        <v>590</v>
      </c>
      <c r="E32" s="576" t="s">
        <v>489</v>
      </c>
      <c r="F32" s="576"/>
      <c r="G32" s="576" t="s">
        <v>489</v>
      </c>
      <c r="H32" s="606" t="s">
        <v>380</v>
      </c>
      <c r="I32" s="576" t="s">
        <v>358</v>
      </c>
      <c r="J32" s="576"/>
      <c r="K32" s="576">
        <v>29</v>
      </c>
      <c r="L32" s="605">
        <v>58</v>
      </c>
      <c r="M32" s="576"/>
      <c r="N32" s="576"/>
      <c r="O32" s="576" t="s">
        <v>359</v>
      </c>
      <c r="P32" s="576" t="s">
        <v>360</v>
      </c>
      <c r="Q32" s="605" t="s">
        <v>555</v>
      </c>
      <c r="R32" s="576" t="s">
        <v>362</v>
      </c>
      <c r="S32" s="576">
        <v>29</v>
      </c>
      <c r="T32" s="576" t="s">
        <v>561</v>
      </c>
      <c r="U32" s="576" t="s">
        <v>562</v>
      </c>
      <c r="V32" s="576" t="s">
        <v>359</v>
      </c>
      <c r="W32" s="576" t="s">
        <v>360</v>
      </c>
      <c r="X32" s="578" t="s">
        <v>364</v>
      </c>
      <c r="Y32" s="576">
        <v>1</v>
      </c>
      <c r="Z32" s="576">
        <v>1</v>
      </c>
      <c r="AA32" s="577"/>
      <c r="AB32" s="576"/>
      <c r="AC32" s="576"/>
      <c r="AD32" s="576"/>
      <c r="AE32" s="578"/>
      <c r="AF32" s="579" t="s">
        <v>105</v>
      </c>
      <c r="AG32" s="574">
        <v>64</v>
      </c>
      <c r="AH32" s="654">
        <v>28</v>
      </c>
      <c r="AI32" s="581">
        <v>1950</v>
      </c>
      <c r="AJ32" s="581">
        <v>2375.1</v>
      </c>
      <c r="AK32" s="581">
        <v>1560</v>
      </c>
      <c r="AL32" s="581">
        <v>248.82</v>
      </c>
    </row>
    <row r="33" spans="1:38" x14ac:dyDescent="0.2">
      <c r="A33" s="570" t="s">
        <v>574</v>
      </c>
      <c r="B33" s="570">
        <v>59</v>
      </c>
      <c r="C33" s="570">
        <v>59</v>
      </c>
      <c r="D33" s="570" t="s">
        <v>595</v>
      </c>
      <c r="E33" s="570" t="s">
        <v>587</v>
      </c>
      <c r="F33" s="570"/>
      <c r="G33" s="570" t="s">
        <v>587</v>
      </c>
      <c r="H33" s="606" t="s">
        <v>380</v>
      </c>
      <c r="I33" s="570" t="s">
        <v>504</v>
      </c>
      <c r="J33" s="570"/>
      <c r="K33" s="570">
        <v>16</v>
      </c>
      <c r="L33" s="605">
        <v>32</v>
      </c>
      <c r="M33" s="570"/>
      <c r="N33" s="570"/>
      <c r="O33" s="570" t="s">
        <v>359</v>
      </c>
      <c r="P33" s="570" t="s">
        <v>360</v>
      </c>
      <c r="Q33" s="605" t="s">
        <v>555</v>
      </c>
      <c r="R33" s="570" t="s">
        <v>362</v>
      </c>
      <c r="S33" s="570">
        <v>16</v>
      </c>
      <c r="T33" s="570" t="s">
        <v>414</v>
      </c>
      <c r="U33" s="570" t="s">
        <v>415</v>
      </c>
      <c r="V33" s="570" t="s">
        <v>359</v>
      </c>
      <c r="W33" s="570" t="s">
        <v>360</v>
      </c>
      <c r="X33" s="572"/>
      <c r="Y33" s="570"/>
      <c r="Z33" s="570"/>
      <c r="AA33" s="571"/>
      <c r="AB33" s="570"/>
      <c r="AC33" s="570"/>
      <c r="AD33" s="570"/>
      <c r="AE33" s="572" t="s">
        <v>474</v>
      </c>
      <c r="AF33" s="573" t="s">
        <v>105</v>
      </c>
      <c r="AG33" s="574">
        <v>64</v>
      </c>
      <c r="AH33" s="654">
        <v>28</v>
      </c>
      <c r="AI33" s="575">
        <v>1950</v>
      </c>
      <c r="AJ33" s="575">
        <v>1310.4000000000001</v>
      </c>
      <c r="AK33" s="575">
        <v>1950</v>
      </c>
      <c r="AL33" s="575">
        <v>0</v>
      </c>
    </row>
    <row r="34" spans="1:38" x14ac:dyDescent="0.2">
      <c r="A34" s="576" t="s">
        <v>574</v>
      </c>
      <c r="B34" s="576">
        <v>60</v>
      </c>
      <c r="C34" s="576">
        <v>60</v>
      </c>
      <c r="D34" s="576" t="s">
        <v>595</v>
      </c>
      <c r="E34" s="576" t="s">
        <v>596</v>
      </c>
      <c r="F34" s="576"/>
      <c r="G34" s="576" t="s">
        <v>407</v>
      </c>
      <c r="H34" s="606" t="s">
        <v>380</v>
      </c>
      <c r="I34" s="576" t="s">
        <v>358</v>
      </c>
      <c r="J34" s="576"/>
      <c r="K34" s="576">
        <v>27</v>
      </c>
      <c r="L34" s="605">
        <v>54</v>
      </c>
      <c r="M34" s="576"/>
      <c r="N34" s="576"/>
      <c r="O34" s="576" t="s">
        <v>359</v>
      </c>
      <c r="P34" s="576" t="s">
        <v>360</v>
      </c>
      <c r="Q34" s="605" t="s">
        <v>555</v>
      </c>
      <c r="R34" s="576" t="s">
        <v>362</v>
      </c>
      <c r="S34" s="576">
        <v>27</v>
      </c>
      <c r="T34" s="576" t="s">
        <v>563</v>
      </c>
      <c r="U34" s="576" t="s">
        <v>564</v>
      </c>
      <c r="V34" s="576" t="s">
        <v>359</v>
      </c>
      <c r="W34" s="576" t="s">
        <v>360</v>
      </c>
      <c r="X34" s="578"/>
      <c r="Y34" s="576"/>
      <c r="Z34" s="576"/>
      <c r="AA34" s="577"/>
      <c r="AB34" s="576"/>
      <c r="AC34" s="576"/>
      <c r="AD34" s="576"/>
      <c r="AE34" s="578" t="s">
        <v>474</v>
      </c>
      <c r="AF34" s="579" t="s">
        <v>105</v>
      </c>
      <c r="AG34" s="574">
        <v>64</v>
      </c>
      <c r="AH34" s="654">
        <v>28</v>
      </c>
      <c r="AI34" s="581">
        <v>1950</v>
      </c>
      <c r="AJ34" s="581">
        <v>2211.3000000000002</v>
      </c>
      <c r="AK34" s="581">
        <v>1950</v>
      </c>
      <c r="AL34" s="581">
        <v>0</v>
      </c>
    </row>
    <row r="35" spans="1:38" x14ac:dyDescent="0.2">
      <c r="A35" s="570" t="s">
        <v>574</v>
      </c>
      <c r="B35" s="570">
        <v>61</v>
      </c>
      <c r="C35" s="570">
        <v>61</v>
      </c>
      <c r="D35" s="570" t="s">
        <v>595</v>
      </c>
      <c r="E35" s="570" t="s">
        <v>597</v>
      </c>
      <c r="F35" s="570"/>
      <c r="G35" s="570" t="s">
        <v>407</v>
      </c>
      <c r="H35" s="606" t="s">
        <v>380</v>
      </c>
      <c r="I35" s="570" t="s">
        <v>358</v>
      </c>
      <c r="J35" s="570"/>
      <c r="K35" s="570">
        <v>26</v>
      </c>
      <c r="L35" s="605">
        <v>52</v>
      </c>
      <c r="M35" s="570"/>
      <c r="N35" s="570"/>
      <c r="O35" s="570" t="s">
        <v>359</v>
      </c>
      <c r="P35" s="570" t="s">
        <v>360</v>
      </c>
      <c r="Q35" s="605" t="s">
        <v>555</v>
      </c>
      <c r="R35" s="570" t="s">
        <v>362</v>
      </c>
      <c r="S35" s="570">
        <v>26</v>
      </c>
      <c r="T35" s="570" t="s">
        <v>565</v>
      </c>
      <c r="U35" s="570" t="s">
        <v>566</v>
      </c>
      <c r="V35" s="570" t="s">
        <v>359</v>
      </c>
      <c r="W35" s="570" t="s">
        <v>360</v>
      </c>
      <c r="X35" s="572"/>
      <c r="Y35" s="570"/>
      <c r="Z35" s="570"/>
      <c r="AA35" s="571"/>
      <c r="AB35" s="570"/>
      <c r="AC35" s="570"/>
      <c r="AD35" s="570"/>
      <c r="AE35" s="572" t="s">
        <v>474</v>
      </c>
      <c r="AF35" s="573" t="s">
        <v>105</v>
      </c>
      <c r="AG35" s="574">
        <v>64</v>
      </c>
      <c r="AH35" s="654">
        <v>28</v>
      </c>
      <c r="AI35" s="575">
        <v>1950</v>
      </c>
      <c r="AJ35" s="575">
        <v>2129.4</v>
      </c>
      <c r="AK35" s="575">
        <v>1950</v>
      </c>
      <c r="AL35" s="575">
        <v>0</v>
      </c>
    </row>
    <row r="36" spans="1:38" x14ac:dyDescent="0.2">
      <c r="A36" s="576" t="s">
        <v>574</v>
      </c>
      <c r="B36" s="576">
        <v>62</v>
      </c>
      <c r="C36" s="576">
        <v>62</v>
      </c>
      <c r="D36" s="576" t="s">
        <v>595</v>
      </c>
      <c r="E36" s="576" t="s">
        <v>598</v>
      </c>
      <c r="F36" s="576"/>
      <c r="G36" s="576" t="s">
        <v>407</v>
      </c>
      <c r="H36" s="606" t="s">
        <v>380</v>
      </c>
      <c r="I36" s="576" t="s">
        <v>358</v>
      </c>
      <c r="J36" s="576"/>
      <c r="K36" s="576">
        <v>13</v>
      </c>
      <c r="L36" s="605">
        <v>26</v>
      </c>
      <c r="M36" s="576"/>
      <c r="N36" s="576"/>
      <c r="O36" s="576" t="s">
        <v>359</v>
      </c>
      <c r="P36" s="576" t="s">
        <v>360</v>
      </c>
      <c r="Q36" s="605" t="s">
        <v>555</v>
      </c>
      <c r="R36" s="576" t="s">
        <v>362</v>
      </c>
      <c r="S36" s="576">
        <v>13</v>
      </c>
      <c r="T36" s="576" t="s">
        <v>524</v>
      </c>
      <c r="U36" s="576" t="s">
        <v>525</v>
      </c>
      <c r="V36" s="576" t="s">
        <v>359</v>
      </c>
      <c r="W36" s="576" t="s">
        <v>360</v>
      </c>
      <c r="X36" s="578"/>
      <c r="Y36" s="576"/>
      <c r="Z36" s="576"/>
      <c r="AA36" s="577"/>
      <c r="AB36" s="576"/>
      <c r="AC36" s="576"/>
      <c r="AD36" s="576"/>
      <c r="AE36" s="578" t="s">
        <v>474</v>
      </c>
      <c r="AF36" s="579" t="s">
        <v>105</v>
      </c>
      <c r="AG36" s="574">
        <v>64</v>
      </c>
      <c r="AH36" s="654">
        <v>28</v>
      </c>
      <c r="AI36" s="581">
        <v>1950</v>
      </c>
      <c r="AJ36" s="581">
        <v>1064.7</v>
      </c>
      <c r="AK36" s="581">
        <v>1950</v>
      </c>
      <c r="AL36" s="581">
        <v>0</v>
      </c>
    </row>
    <row r="37" spans="1:38" x14ac:dyDescent="0.2">
      <c r="A37" s="570" t="s">
        <v>574</v>
      </c>
      <c r="B37" s="570">
        <v>63</v>
      </c>
      <c r="C37" s="570">
        <v>63</v>
      </c>
      <c r="D37" s="570" t="s">
        <v>595</v>
      </c>
      <c r="E37" s="570" t="s">
        <v>599</v>
      </c>
      <c r="F37" s="570"/>
      <c r="G37" s="570" t="s">
        <v>407</v>
      </c>
      <c r="H37" s="606" t="s">
        <v>380</v>
      </c>
      <c r="I37" s="570" t="s">
        <v>358</v>
      </c>
      <c r="J37" s="570"/>
      <c r="K37" s="570">
        <v>13</v>
      </c>
      <c r="L37" s="605">
        <v>26</v>
      </c>
      <c r="M37" s="570"/>
      <c r="N37" s="570"/>
      <c r="O37" s="570" t="s">
        <v>359</v>
      </c>
      <c r="P37" s="570" t="s">
        <v>360</v>
      </c>
      <c r="Q37" s="605" t="s">
        <v>555</v>
      </c>
      <c r="R37" s="570" t="s">
        <v>362</v>
      </c>
      <c r="S37" s="570">
        <v>13</v>
      </c>
      <c r="T37" s="570" t="s">
        <v>524</v>
      </c>
      <c r="U37" s="570" t="s">
        <v>525</v>
      </c>
      <c r="V37" s="570" t="s">
        <v>359</v>
      </c>
      <c r="W37" s="570" t="s">
        <v>360</v>
      </c>
      <c r="X37" s="572"/>
      <c r="Y37" s="570"/>
      <c r="Z37" s="570"/>
      <c r="AA37" s="571"/>
      <c r="AB37" s="570"/>
      <c r="AC37" s="570"/>
      <c r="AD37" s="570"/>
      <c r="AE37" s="572" t="s">
        <v>474</v>
      </c>
      <c r="AF37" s="573" t="s">
        <v>105</v>
      </c>
      <c r="AG37" s="574">
        <v>64</v>
      </c>
      <c r="AH37" s="654">
        <v>28</v>
      </c>
      <c r="AI37" s="575">
        <v>1950</v>
      </c>
      <c r="AJ37" s="575">
        <v>1064.7</v>
      </c>
      <c r="AK37" s="575">
        <v>1950</v>
      </c>
      <c r="AL37" s="575">
        <v>0</v>
      </c>
    </row>
    <row r="38" spans="1:38" x14ac:dyDescent="0.2">
      <c r="A38" s="576" t="s">
        <v>574</v>
      </c>
      <c r="B38" s="576">
        <v>64</v>
      </c>
      <c r="C38" s="576">
        <v>64</v>
      </c>
      <c r="D38" s="576" t="s">
        <v>595</v>
      </c>
      <c r="E38" s="576" t="s">
        <v>600</v>
      </c>
      <c r="F38" s="576"/>
      <c r="G38" s="576" t="s">
        <v>407</v>
      </c>
      <c r="H38" s="606" t="s">
        <v>380</v>
      </c>
      <c r="I38" s="576" t="s">
        <v>358</v>
      </c>
      <c r="J38" s="576"/>
      <c r="K38" s="576">
        <v>26</v>
      </c>
      <c r="L38" s="605">
        <v>52</v>
      </c>
      <c r="M38" s="576"/>
      <c r="N38" s="576"/>
      <c r="O38" s="576" t="s">
        <v>359</v>
      </c>
      <c r="P38" s="576" t="s">
        <v>360</v>
      </c>
      <c r="Q38" s="605" t="s">
        <v>555</v>
      </c>
      <c r="R38" s="576" t="s">
        <v>362</v>
      </c>
      <c r="S38" s="576">
        <v>26</v>
      </c>
      <c r="T38" s="576" t="s">
        <v>565</v>
      </c>
      <c r="U38" s="576" t="s">
        <v>566</v>
      </c>
      <c r="V38" s="576" t="s">
        <v>359</v>
      </c>
      <c r="W38" s="576" t="s">
        <v>360</v>
      </c>
      <c r="X38" s="578"/>
      <c r="Y38" s="576"/>
      <c r="Z38" s="576"/>
      <c r="AA38" s="577"/>
      <c r="AB38" s="576"/>
      <c r="AC38" s="576"/>
      <c r="AD38" s="576"/>
      <c r="AE38" s="578" t="s">
        <v>474</v>
      </c>
      <c r="AF38" s="579" t="s">
        <v>105</v>
      </c>
      <c r="AG38" s="574">
        <v>64</v>
      </c>
      <c r="AH38" s="654">
        <v>28</v>
      </c>
      <c r="AI38" s="581">
        <v>1950</v>
      </c>
      <c r="AJ38" s="581">
        <v>2129.4</v>
      </c>
      <c r="AK38" s="581">
        <v>1950</v>
      </c>
      <c r="AL38" s="581">
        <v>0</v>
      </c>
    </row>
    <row r="39" spans="1:38" x14ac:dyDescent="0.2">
      <c r="A39" s="570" t="s">
        <v>574</v>
      </c>
      <c r="B39" s="570">
        <v>65</v>
      </c>
      <c r="C39" s="570">
        <v>65</v>
      </c>
      <c r="D39" s="570" t="s">
        <v>595</v>
      </c>
      <c r="E39" s="570" t="s">
        <v>601</v>
      </c>
      <c r="F39" s="570"/>
      <c r="G39" s="570" t="s">
        <v>407</v>
      </c>
      <c r="H39" s="606" t="s">
        <v>380</v>
      </c>
      <c r="I39" s="570" t="s">
        <v>358</v>
      </c>
      <c r="J39" s="570"/>
      <c r="K39" s="570">
        <v>26</v>
      </c>
      <c r="L39" s="605">
        <v>52</v>
      </c>
      <c r="M39" s="570"/>
      <c r="N39" s="570"/>
      <c r="O39" s="570" t="s">
        <v>359</v>
      </c>
      <c r="P39" s="570" t="s">
        <v>360</v>
      </c>
      <c r="Q39" s="605" t="s">
        <v>555</v>
      </c>
      <c r="R39" s="570" t="s">
        <v>362</v>
      </c>
      <c r="S39" s="570">
        <v>26</v>
      </c>
      <c r="T39" s="570" t="s">
        <v>565</v>
      </c>
      <c r="U39" s="570" t="s">
        <v>566</v>
      </c>
      <c r="V39" s="570" t="s">
        <v>359</v>
      </c>
      <c r="W39" s="570" t="s">
        <v>360</v>
      </c>
      <c r="X39" s="572"/>
      <c r="Y39" s="570"/>
      <c r="Z39" s="570"/>
      <c r="AA39" s="571"/>
      <c r="AB39" s="570"/>
      <c r="AC39" s="570"/>
      <c r="AD39" s="570"/>
      <c r="AE39" s="572" t="s">
        <v>474</v>
      </c>
      <c r="AF39" s="573" t="s">
        <v>105</v>
      </c>
      <c r="AG39" s="574">
        <v>64</v>
      </c>
      <c r="AH39" s="654">
        <v>28</v>
      </c>
      <c r="AI39" s="575">
        <v>1950</v>
      </c>
      <c r="AJ39" s="575">
        <v>2129.4</v>
      </c>
      <c r="AK39" s="575">
        <v>1950</v>
      </c>
      <c r="AL39" s="575">
        <v>0</v>
      </c>
    </row>
    <row r="40" spans="1:38" x14ac:dyDescent="0.2">
      <c r="A40" s="576" t="s">
        <v>574</v>
      </c>
      <c r="B40" s="576">
        <v>66</v>
      </c>
      <c r="C40" s="576">
        <v>66</v>
      </c>
      <c r="D40" s="576" t="s">
        <v>595</v>
      </c>
      <c r="E40" s="576" t="s">
        <v>602</v>
      </c>
      <c r="F40" s="576"/>
      <c r="G40" s="576" t="s">
        <v>407</v>
      </c>
      <c r="H40" s="606" t="s">
        <v>380</v>
      </c>
      <c r="I40" s="576" t="s">
        <v>358</v>
      </c>
      <c r="J40" s="576"/>
      <c r="K40" s="576">
        <v>26</v>
      </c>
      <c r="L40" s="605">
        <v>52</v>
      </c>
      <c r="M40" s="576"/>
      <c r="N40" s="576"/>
      <c r="O40" s="576" t="s">
        <v>359</v>
      </c>
      <c r="P40" s="576" t="s">
        <v>360</v>
      </c>
      <c r="Q40" s="605" t="s">
        <v>555</v>
      </c>
      <c r="R40" s="576" t="s">
        <v>362</v>
      </c>
      <c r="S40" s="576">
        <v>26</v>
      </c>
      <c r="T40" s="576" t="s">
        <v>565</v>
      </c>
      <c r="U40" s="576" t="s">
        <v>566</v>
      </c>
      <c r="V40" s="576" t="s">
        <v>359</v>
      </c>
      <c r="W40" s="576" t="s">
        <v>360</v>
      </c>
      <c r="X40" s="578"/>
      <c r="Y40" s="576"/>
      <c r="Z40" s="576"/>
      <c r="AA40" s="577"/>
      <c r="AB40" s="576"/>
      <c r="AC40" s="576"/>
      <c r="AD40" s="576"/>
      <c r="AE40" s="578" t="s">
        <v>474</v>
      </c>
      <c r="AF40" s="579" t="s">
        <v>105</v>
      </c>
      <c r="AG40" s="574">
        <v>64</v>
      </c>
      <c r="AH40" s="654">
        <v>28</v>
      </c>
      <c r="AI40" s="581">
        <v>1950</v>
      </c>
      <c r="AJ40" s="581">
        <v>2129.4</v>
      </c>
      <c r="AK40" s="581">
        <v>1950</v>
      </c>
      <c r="AL40" s="581">
        <v>0</v>
      </c>
    </row>
    <row r="41" spans="1:38" x14ac:dyDescent="0.2">
      <c r="A41" s="570" t="s">
        <v>574</v>
      </c>
      <c r="B41" s="570">
        <v>67</v>
      </c>
      <c r="C41" s="570">
        <v>67</v>
      </c>
      <c r="D41" s="570" t="s">
        <v>595</v>
      </c>
      <c r="E41" s="570" t="s">
        <v>398</v>
      </c>
      <c r="F41" s="570"/>
      <c r="G41" s="570" t="s">
        <v>582</v>
      </c>
      <c r="H41" s="606" t="s">
        <v>380</v>
      </c>
      <c r="I41" s="570" t="s">
        <v>368</v>
      </c>
      <c r="J41" s="570"/>
      <c r="K41" s="570">
        <v>1</v>
      </c>
      <c r="L41" s="605">
        <v>2</v>
      </c>
      <c r="M41" s="570"/>
      <c r="N41" s="570"/>
      <c r="O41" s="570" t="s">
        <v>359</v>
      </c>
      <c r="P41" s="570" t="s">
        <v>360</v>
      </c>
      <c r="Q41" s="605" t="s">
        <v>555</v>
      </c>
      <c r="R41" s="570" t="s">
        <v>362</v>
      </c>
      <c r="S41" s="570">
        <v>1</v>
      </c>
      <c r="T41" s="570" t="s">
        <v>395</v>
      </c>
      <c r="U41" s="570" t="s">
        <v>396</v>
      </c>
      <c r="V41" s="570" t="s">
        <v>359</v>
      </c>
      <c r="W41" s="570" t="s">
        <v>360</v>
      </c>
      <c r="X41" s="572" t="s">
        <v>441</v>
      </c>
      <c r="Y41" s="570">
        <v>1</v>
      </c>
      <c r="Z41" s="570">
        <v>1</v>
      </c>
      <c r="AA41" s="571"/>
      <c r="AB41" s="570"/>
      <c r="AC41" s="570"/>
      <c r="AD41" s="570"/>
      <c r="AE41" s="572" t="s">
        <v>474</v>
      </c>
      <c r="AF41" s="573" t="s">
        <v>105</v>
      </c>
      <c r="AG41" s="574">
        <v>64</v>
      </c>
      <c r="AH41" s="654">
        <v>28</v>
      </c>
      <c r="AI41" s="575">
        <v>2340</v>
      </c>
      <c r="AJ41" s="575">
        <v>98.28</v>
      </c>
      <c r="AK41" s="575">
        <v>1404</v>
      </c>
      <c r="AL41" s="575">
        <v>20.591999999999999</v>
      </c>
    </row>
    <row r="42" spans="1:38" x14ac:dyDescent="0.2">
      <c r="A42" s="576" t="s">
        <v>574</v>
      </c>
      <c r="B42" s="576">
        <v>68</v>
      </c>
      <c r="C42" s="576">
        <v>68</v>
      </c>
      <c r="D42" s="576" t="s">
        <v>595</v>
      </c>
      <c r="E42" s="576" t="s">
        <v>399</v>
      </c>
      <c r="F42" s="576"/>
      <c r="G42" s="576" t="s">
        <v>582</v>
      </c>
      <c r="H42" s="606" t="s">
        <v>380</v>
      </c>
      <c r="I42" s="576" t="s">
        <v>368</v>
      </c>
      <c r="J42" s="576"/>
      <c r="K42" s="576">
        <v>1</v>
      </c>
      <c r="L42" s="605">
        <v>2</v>
      </c>
      <c r="M42" s="576"/>
      <c r="N42" s="576"/>
      <c r="O42" s="576" t="s">
        <v>359</v>
      </c>
      <c r="P42" s="576" t="s">
        <v>360</v>
      </c>
      <c r="Q42" s="605" t="s">
        <v>555</v>
      </c>
      <c r="R42" s="576" t="s">
        <v>362</v>
      </c>
      <c r="S42" s="576">
        <v>1</v>
      </c>
      <c r="T42" s="576" t="s">
        <v>395</v>
      </c>
      <c r="U42" s="576" t="s">
        <v>396</v>
      </c>
      <c r="V42" s="576" t="s">
        <v>359</v>
      </c>
      <c r="W42" s="576" t="s">
        <v>360</v>
      </c>
      <c r="X42" s="578" t="s">
        <v>441</v>
      </c>
      <c r="Y42" s="576">
        <v>1</v>
      </c>
      <c r="Z42" s="576">
        <v>1</v>
      </c>
      <c r="AA42" s="577"/>
      <c r="AB42" s="576"/>
      <c r="AC42" s="576"/>
      <c r="AD42" s="576"/>
      <c r="AE42" s="578" t="s">
        <v>474</v>
      </c>
      <c r="AF42" s="579" t="s">
        <v>105</v>
      </c>
      <c r="AG42" s="574">
        <v>64</v>
      </c>
      <c r="AH42" s="654">
        <v>28</v>
      </c>
      <c r="AI42" s="581">
        <v>2340</v>
      </c>
      <c r="AJ42" s="581">
        <v>98.28</v>
      </c>
      <c r="AK42" s="581">
        <v>1404</v>
      </c>
      <c r="AL42" s="581">
        <v>20.591999999999999</v>
      </c>
    </row>
    <row r="43" spans="1:38" x14ac:dyDescent="0.2">
      <c r="A43" s="576" t="s">
        <v>574</v>
      </c>
      <c r="B43" s="576">
        <v>80</v>
      </c>
      <c r="C43" s="576">
        <v>80</v>
      </c>
      <c r="D43" s="576" t="s">
        <v>85</v>
      </c>
      <c r="E43" s="576" t="s">
        <v>603</v>
      </c>
      <c r="F43" s="576"/>
      <c r="G43" s="576" t="s">
        <v>407</v>
      </c>
      <c r="H43" s="606" t="s">
        <v>380</v>
      </c>
      <c r="I43" s="576" t="s">
        <v>358</v>
      </c>
      <c r="J43" s="576"/>
      <c r="K43" s="576">
        <v>12</v>
      </c>
      <c r="L43" s="605">
        <v>24</v>
      </c>
      <c r="M43" s="576"/>
      <c r="N43" s="576"/>
      <c r="O43" s="576" t="s">
        <v>359</v>
      </c>
      <c r="P43" s="576" t="s">
        <v>360</v>
      </c>
      <c r="Q43" s="605" t="s">
        <v>555</v>
      </c>
      <c r="R43" s="576" t="s">
        <v>362</v>
      </c>
      <c r="S43" s="576">
        <v>12</v>
      </c>
      <c r="T43" s="576" t="s">
        <v>439</v>
      </c>
      <c r="U43" s="576" t="s">
        <v>440</v>
      </c>
      <c r="V43" s="576" t="s">
        <v>359</v>
      </c>
      <c r="W43" s="576" t="s">
        <v>360</v>
      </c>
      <c r="X43" s="578" t="s">
        <v>364</v>
      </c>
      <c r="Y43" s="576">
        <v>1</v>
      </c>
      <c r="Z43" s="576">
        <v>1</v>
      </c>
      <c r="AA43" s="577"/>
      <c r="AB43" s="576"/>
      <c r="AC43" s="576"/>
      <c r="AD43" s="576"/>
      <c r="AE43" s="578" t="s">
        <v>537</v>
      </c>
      <c r="AF43" s="579" t="s">
        <v>105</v>
      </c>
      <c r="AG43" s="574">
        <v>64</v>
      </c>
      <c r="AH43" s="654">
        <v>28</v>
      </c>
      <c r="AI43" s="581">
        <v>1950</v>
      </c>
      <c r="AJ43" s="581">
        <v>982.8</v>
      </c>
      <c r="AK43" s="581">
        <v>1560</v>
      </c>
      <c r="AL43" s="581">
        <v>102.96</v>
      </c>
    </row>
    <row r="44" spans="1:38" x14ac:dyDescent="0.2">
      <c r="A44" s="570" t="s">
        <v>574</v>
      </c>
      <c r="B44" s="570">
        <v>3</v>
      </c>
      <c r="C44" s="570">
        <v>3</v>
      </c>
      <c r="D44" s="570" t="s">
        <v>85</v>
      </c>
      <c r="E44" s="570" t="s">
        <v>469</v>
      </c>
      <c r="F44" s="570"/>
      <c r="G44" s="570" t="s">
        <v>407</v>
      </c>
      <c r="H44" s="606" t="s">
        <v>478</v>
      </c>
      <c r="I44" s="570" t="s">
        <v>358</v>
      </c>
      <c r="J44" s="570"/>
      <c r="K44" s="570">
        <v>10</v>
      </c>
      <c r="L44" s="606">
        <v>40</v>
      </c>
      <c r="M44" s="570"/>
      <c r="N44" s="570"/>
      <c r="O44" s="570" t="s">
        <v>359</v>
      </c>
      <c r="P44" s="570" t="s">
        <v>360</v>
      </c>
      <c r="Q44" s="605" t="s">
        <v>555</v>
      </c>
      <c r="R44" s="570" t="s">
        <v>362</v>
      </c>
      <c r="S44" s="570">
        <v>10</v>
      </c>
      <c r="T44" s="570" t="s">
        <v>459</v>
      </c>
      <c r="U44" s="570" t="s">
        <v>567</v>
      </c>
      <c r="V44" s="570" t="s">
        <v>359</v>
      </c>
      <c r="W44" s="570" t="s">
        <v>360</v>
      </c>
      <c r="X44" s="572" t="s">
        <v>364</v>
      </c>
      <c r="Y44" s="570">
        <v>1</v>
      </c>
      <c r="Z44" s="570">
        <v>1</v>
      </c>
      <c r="AA44" s="571"/>
      <c r="AB44" s="570"/>
      <c r="AC44" s="570"/>
      <c r="AD44" s="570"/>
      <c r="AE44" s="572" t="s">
        <v>370</v>
      </c>
      <c r="AF44" s="573" t="s">
        <v>105</v>
      </c>
      <c r="AG44" s="574">
        <v>128</v>
      </c>
      <c r="AH44" s="654">
        <v>28</v>
      </c>
      <c r="AI44" s="575">
        <v>1950</v>
      </c>
      <c r="AJ44" s="575">
        <v>2067</v>
      </c>
      <c r="AK44" s="575">
        <v>1560</v>
      </c>
      <c r="AL44" s="575">
        <v>85.8</v>
      </c>
    </row>
    <row r="45" spans="1:38" x14ac:dyDescent="0.2">
      <c r="A45" s="570" t="s">
        <v>574</v>
      </c>
      <c r="B45" s="570">
        <v>5</v>
      </c>
      <c r="C45" s="570">
        <v>5</v>
      </c>
      <c r="D45" s="570" t="s">
        <v>85</v>
      </c>
      <c r="E45" s="570" t="s">
        <v>466</v>
      </c>
      <c r="F45" s="570"/>
      <c r="G45" s="570" t="s">
        <v>407</v>
      </c>
      <c r="H45" s="606" t="s">
        <v>478</v>
      </c>
      <c r="I45" s="570" t="s">
        <v>358</v>
      </c>
      <c r="J45" s="570"/>
      <c r="K45" s="570">
        <v>10</v>
      </c>
      <c r="L45" s="606">
        <v>40</v>
      </c>
      <c r="M45" s="570"/>
      <c r="N45" s="570"/>
      <c r="O45" s="570" t="s">
        <v>359</v>
      </c>
      <c r="P45" s="570" t="s">
        <v>360</v>
      </c>
      <c r="Q45" s="605" t="s">
        <v>555</v>
      </c>
      <c r="R45" s="570" t="s">
        <v>362</v>
      </c>
      <c r="S45" s="570">
        <v>10</v>
      </c>
      <c r="T45" s="570" t="s">
        <v>459</v>
      </c>
      <c r="U45" s="570" t="s">
        <v>567</v>
      </c>
      <c r="V45" s="570" t="s">
        <v>359</v>
      </c>
      <c r="W45" s="570" t="s">
        <v>360</v>
      </c>
      <c r="X45" s="572" t="s">
        <v>364</v>
      </c>
      <c r="Y45" s="570">
        <v>1</v>
      </c>
      <c r="Z45" s="570">
        <v>1</v>
      </c>
      <c r="AA45" s="571"/>
      <c r="AB45" s="570"/>
      <c r="AC45" s="570"/>
      <c r="AD45" s="570"/>
      <c r="AE45" s="572" t="s">
        <v>370</v>
      </c>
      <c r="AF45" s="573" t="s">
        <v>105</v>
      </c>
      <c r="AG45" s="574">
        <v>128</v>
      </c>
      <c r="AH45" s="654">
        <v>28</v>
      </c>
      <c r="AI45" s="575">
        <v>1950</v>
      </c>
      <c r="AJ45" s="575">
        <v>2067</v>
      </c>
      <c r="AK45" s="575">
        <v>1560</v>
      </c>
      <c r="AL45" s="575">
        <v>85.8</v>
      </c>
    </row>
    <row r="46" spans="1:38" x14ac:dyDescent="0.2">
      <c r="A46" s="570" t="s">
        <v>574</v>
      </c>
      <c r="B46" s="570">
        <v>7</v>
      </c>
      <c r="C46" s="570">
        <v>7</v>
      </c>
      <c r="D46" s="570" t="s">
        <v>85</v>
      </c>
      <c r="E46" s="570" t="s">
        <v>468</v>
      </c>
      <c r="F46" s="570"/>
      <c r="G46" s="570" t="s">
        <v>407</v>
      </c>
      <c r="H46" s="606" t="s">
        <v>478</v>
      </c>
      <c r="I46" s="570" t="s">
        <v>358</v>
      </c>
      <c r="J46" s="570"/>
      <c r="K46" s="570">
        <v>10</v>
      </c>
      <c r="L46" s="606">
        <v>40</v>
      </c>
      <c r="M46" s="570"/>
      <c r="N46" s="570"/>
      <c r="O46" s="570" t="s">
        <v>359</v>
      </c>
      <c r="P46" s="570" t="s">
        <v>360</v>
      </c>
      <c r="Q46" s="605" t="s">
        <v>555</v>
      </c>
      <c r="R46" s="570" t="s">
        <v>362</v>
      </c>
      <c r="S46" s="570">
        <v>10</v>
      </c>
      <c r="T46" s="570" t="s">
        <v>459</v>
      </c>
      <c r="U46" s="570" t="s">
        <v>567</v>
      </c>
      <c r="V46" s="570" t="s">
        <v>359</v>
      </c>
      <c r="W46" s="570" t="s">
        <v>360</v>
      </c>
      <c r="X46" s="572" t="s">
        <v>364</v>
      </c>
      <c r="Y46" s="570">
        <v>1</v>
      </c>
      <c r="Z46" s="570">
        <v>1</v>
      </c>
      <c r="AA46" s="571"/>
      <c r="AB46" s="570"/>
      <c r="AC46" s="570"/>
      <c r="AD46" s="570"/>
      <c r="AE46" s="572" t="s">
        <v>370</v>
      </c>
      <c r="AF46" s="573" t="s">
        <v>105</v>
      </c>
      <c r="AG46" s="574">
        <v>128</v>
      </c>
      <c r="AH46" s="654">
        <v>28</v>
      </c>
      <c r="AI46" s="575">
        <v>1950</v>
      </c>
      <c r="AJ46" s="575">
        <v>2067</v>
      </c>
      <c r="AK46" s="575">
        <v>1560</v>
      </c>
      <c r="AL46" s="575">
        <v>85.8</v>
      </c>
    </row>
    <row r="47" spans="1:38" x14ac:dyDescent="0.2">
      <c r="A47" s="570" t="s">
        <v>574</v>
      </c>
      <c r="B47" s="570">
        <v>9</v>
      </c>
      <c r="C47" s="570">
        <v>9</v>
      </c>
      <c r="D47" s="570" t="s">
        <v>85</v>
      </c>
      <c r="E47" s="570" t="s">
        <v>463</v>
      </c>
      <c r="F47" s="570"/>
      <c r="G47" s="570" t="s">
        <v>407</v>
      </c>
      <c r="H47" s="606" t="s">
        <v>478</v>
      </c>
      <c r="I47" s="570" t="s">
        <v>358</v>
      </c>
      <c r="J47" s="570"/>
      <c r="K47" s="570">
        <v>10</v>
      </c>
      <c r="L47" s="606">
        <v>40</v>
      </c>
      <c r="M47" s="570"/>
      <c r="N47" s="570"/>
      <c r="O47" s="570" t="s">
        <v>359</v>
      </c>
      <c r="P47" s="570" t="s">
        <v>360</v>
      </c>
      <c r="Q47" s="605" t="s">
        <v>555</v>
      </c>
      <c r="R47" s="570" t="s">
        <v>362</v>
      </c>
      <c r="S47" s="570">
        <v>10</v>
      </c>
      <c r="T47" s="570" t="s">
        <v>459</v>
      </c>
      <c r="U47" s="570" t="s">
        <v>567</v>
      </c>
      <c r="V47" s="570" t="s">
        <v>359</v>
      </c>
      <c r="W47" s="570" t="s">
        <v>360</v>
      </c>
      <c r="X47" s="572" t="s">
        <v>364</v>
      </c>
      <c r="Y47" s="570">
        <v>1</v>
      </c>
      <c r="Z47" s="570">
        <v>1</v>
      </c>
      <c r="AA47" s="571"/>
      <c r="AB47" s="570"/>
      <c r="AC47" s="570"/>
      <c r="AD47" s="570"/>
      <c r="AE47" s="572" t="s">
        <v>370</v>
      </c>
      <c r="AF47" s="573" t="s">
        <v>105</v>
      </c>
      <c r="AG47" s="574">
        <v>128</v>
      </c>
      <c r="AH47" s="654">
        <v>28</v>
      </c>
      <c r="AI47" s="575">
        <v>1950</v>
      </c>
      <c r="AJ47" s="575">
        <v>2067</v>
      </c>
      <c r="AK47" s="575">
        <v>1560</v>
      </c>
      <c r="AL47" s="575">
        <v>85.8</v>
      </c>
    </row>
    <row r="48" spans="1:38" x14ac:dyDescent="0.2">
      <c r="A48" s="570" t="s">
        <v>574</v>
      </c>
      <c r="B48" s="570">
        <v>11</v>
      </c>
      <c r="C48" s="570">
        <v>11</v>
      </c>
      <c r="D48" s="570" t="s">
        <v>581</v>
      </c>
      <c r="E48" s="570" t="s">
        <v>464</v>
      </c>
      <c r="F48" s="570"/>
      <c r="G48" s="570" t="s">
        <v>407</v>
      </c>
      <c r="H48" s="606" t="s">
        <v>478</v>
      </c>
      <c r="I48" s="570" t="s">
        <v>358</v>
      </c>
      <c r="J48" s="570"/>
      <c r="K48" s="570">
        <v>9</v>
      </c>
      <c r="L48" s="606">
        <v>36</v>
      </c>
      <c r="M48" s="570"/>
      <c r="N48" s="570"/>
      <c r="O48" s="570" t="s">
        <v>359</v>
      </c>
      <c r="P48" s="570" t="s">
        <v>360</v>
      </c>
      <c r="Q48" s="605" t="s">
        <v>555</v>
      </c>
      <c r="R48" s="570" t="s">
        <v>362</v>
      </c>
      <c r="S48" s="570">
        <v>9</v>
      </c>
      <c r="T48" s="570" t="s">
        <v>452</v>
      </c>
      <c r="U48" s="570" t="s">
        <v>568</v>
      </c>
      <c r="V48" s="570" t="s">
        <v>359</v>
      </c>
      <c r="W48" s="570" t="s">
        <v>360</v>
      </c>
      <c r="X48" s="572" t="s">
        <v>364</v>
      </c>
      <c r="Y48" s="570">
        <v>1</v>
      </c>
      <c r="Z48" s="570">
        <v>1</v>
      </c>
      <c r="AA48" s="571"/>
      <c r="AB48" s="570"/>
      <c r="AC48" s="570"/>
      <c r="AD48" s="570"/>
      <c r="AE48" s="572" t="s">
        <v>569</v>
      </c>
      <c r="AF48" s="573" t="s">
        <v>105</v>
      </c>
      <c r="AG48" s="574">
        <v>128</v>
      </c>
      <c r="AH48" s="654">
        <v>28</v>
      </c>
      <c r="AI48" s="575">
        <v>1950</v>
      </c>
      <c r="AJ48" s="575">
        <v>1860.3</v>
      </c>
      <c r="AK48" s="575">
        <v>1560</v>
      </c>
      <c r="AL48" s="575">
        <v>77.22</v>
      </c>
    </row>
    <row r="49" spans="1:38" x14ac:dyDescent="0.2">
      <c r="A49" s="570" t="s">
        <v>574</v>
      </c>
      <c r="B49" s="570">
        <v>13</v>
      </c>
      <c r="C49" s="570">
        <v>13</v>
      </c>
      <c r="D49" s="570" t="s">
        <v>581</v>
      </c>
      <c r="E49" s="570" t="s">
        <v>465</v>
      </c>
      <c r="F49" s="570"/>
      <c r="G49" s="570" t="s">
        <v>407</v>
      </c>
      <c r="H49" s="606" t="s">
        <v>478</v>
      </c>
      <c r="I49" s="570" t="s">
        <v>358</v>
      </c>
      <c r="J49" s="570"/>
      <c r="K49" s="570">
        <v>9</v>
      </c>
      <c r="L49" s="606">
        <v>36</v>
      </c>
      <c r="M49" s="570"/>
      <c r="N49" s="570"/>
      <c r="O49" s="570" t="s">
        <v>359</v>
      </c>
      <c r="P49" s="570" t="s">
        <v>360</v>
      </c>
      <c r="Q49" s="605" t="s">
        <v>555</v>
      </c>
      <c r="R49" s="570" t="s">
        <v>362</v>
      </c>
      <c r="S49" s="570">
        <v>9</v>
      </c>
      <c r="T49" s="570" t="s">
        <v>452</v>
      </c>
      <c r="U49" s="570" t="s">
        <v>568</v>
      </c>
      <c r="V49" s="570" t="s">
        <v>359</v>
      </c>
      <c r="W49" s="570" t="s">
        <v>360</v>
      </c>
      <c r="X49" s="572" t="s">
        <v>364</v>
      </c>
      <c r="Y49" s="570">
        <v>1</v>
      </c>
      <c r="Z49" s="570">
        <v>1</v>
      </c>
      <c r="AA49" s="571"/>
      <c r="AB49" s="570"/>
      <c r="AC49" s="570"/>
      <c r="AD49" s="570"/>
      <c r="AE49" s="572" t="s">
        <v>569</v>
      </c>
      <c r="AF49" s="573" t="s">
        <v>105</v>
      </c>
      <c r="AG49" s="574">
        <v>128</v>
      </c>
      <c r="AH49" s="654">
        <v>28</v>
      </c>
      <c r="AI49" s="575">
        <v>1950</v>
      </c>
      <c r="AJ49" s="575">
        <v>1860.3</v>
      </c>
      <c r="AK49" s="575">
        <v>1560</v>
      </c>
      <c r="AL49" s="575">
        <v>77.22</v>
      </c>
    </row>
    <row r="50" spans="1:38" x14ac:dyDescent="0.2">
      <c r="A50" s="570" t="s">
        <v>574</v>
      </c>
      <c r="B50" s="570">
        <v>15</v>
      </c>
      <c r="C50" s="570">
        <v>15</v>
      </c>
      <c r="D50" s="570" t="s">
        <v>581</v>
      </c>
      <c r="E50" s="570" t="s">
        <v>604</v>
      </c>
      <c r="F50" s="570"/>
      <c r="G50" s="570" t="s">
        <v>407</v>
      </c>
      <c r="H50" s="606" t="s">
        <v>478</v>
      </c>
      <c r="I50" s="570" t="s">
        <v>358</v>
      </c>
      <c r="J50" s="570"/>
      <c r="K50" s="570">
        <v>9</v>
      </c>
      <c r="L50" s="606">
        <v>36</v>
      </c>
      <c r="M50" s="570"/>
      <c r="N50" s="570"/>
      <c r="O50" s="570" t="s">
        <v>359</v>
      </c>
      <c r="P50" s="570" t="s">
        <v>360</v>
      </c>
      <c r="Q50" s="605" t="s">
        <v>555</v>
      </c>
      <c r="R50" s="570" t="s">
        <v>362</v>
      </c>
      <c r="S50" s="570">
        <v>9</v>
      </c>
      <c r="T50" s="570" t="s">
        <v>452</v>
      </c>
      <c r="U50" s="570" t="s">
        <v>568</v>
      </c>
      <c r="V50" s="570" t="s">
        <v>359</v>
      </c>
      <c r="W50" s="570" t="s">
        <v>360</v>
      </c>
      <c r="X50" s="572" t="s">
        <v>364</v>
      </c>
      <c r="Y50" s="570">
        <v>1</v>
      </c>
      <c r="Z50" s="570">
        <v>1</v>
      </c>
      <c r="AA50" s="571"/>
      <c r="AB50" s="570"/>
      <c r="AC50" s="570"/>
      <c r="AD50" s="570"/>
      <c r="AE50" s="572" t="s">
        <v>569</v>
      </c>
      <c r="AF50" s="573" t="s">
        <v>105</v>
      </c>
      <c r="AG50" s="574">
        <v>128</v>
      </c>
      <c r="AH50" s="654">
        <v>28</v>
      </c>
      <c r="AI50" s="575">
        <v>1950</v>
      </c>
      <c r="AJ50" s="575">
        <v>1860.3</v>
      </c>
      <c r="AK50" s="575">
        <v>1560</v>
      </c>
      <c r="AL50" s="575">
        <v>77.22</v>
      </c>
    </row>
    <row r="51" spans="1:38" x14ac:dyDescent="0.2">
      <c r="A51" s="570" t="s">
        <v>574</v>
      </c>
      <c r="B51" s="570">
        <v>17</v>
      </c>
      <c r="C51" s="570">
        <v>17</v>
      </c>
      <c r="D51" s="570" t="s">
        <v>581</v>
      </c>
      <c r="E51" s="570" t="s">
        <v>605</v>
      </c>
      <c r="F51" s="570"/>
      <c r="G51" s="570" t="s">
        <v>407</v>
      </c>
      <c r="H51" s="606" t="s">
        <v>478</v>
      </c>
      <c r="I51" s="570" t="s">
        <v>358</v>
      </c>
      <c r="J51" s="570"/>
      <c r="K51" s="570">
        <v>9</v>
      </c>
      <c r="L51" s="606">
        <v>36</v>
      </c>
      <c r="M51" s="570"/>
      <c r="N51" s="570"/>
      <c r="O51" s="570" t="s">
        <v>359</v>
      </c>
      <c r="P51" s="570" t="s">
        <v>360</v>
      </c>
      <c r="Q51" s="605" t="s">
        <v>555</v>
      </c>
      <c r="R51" s="570" t="s">
        <v>362</v>
      </c>
      <c r="S51" s="570">
        <v>9</v>
      </c>
      <c r="T51" s="570" t="s">
        <v>452</v>
      </c>
      <c r="U51" s="570" t="s">
        <v>568</v>
      </c>
      <c r="V51" s="570" t="s">
        <v>359</v>
      </c>
      <c r="W51" s="570" t="s">
        <v>360</v>
      </c>
      <c r="X51" s="572" t="s">
        <v>364</v>
      </c>
      <c r="Y51" s="570">
        <v>1</v>
      </c>
      <c r="Z51" s="570">
        <v>1</v>
      </c>
      <c r="AA51" s="571"/>
      <c r="AB51" s="570"/>
      <c r="AC51" s="570"/>
      <c r="AD51" s="570"/>
      <c r="AE51" s="572" t="s">
        <v>569</v>
      </c>
      <c r="AF51" s="573" t="s">
        <v>105</v>
      </c>
      <c r="AG51" s="574">
        <v>128</v>
      </c>
      <c r="AH51" s="654">
        <v>28</v>
      </c>
      <c r="AI51" s="575">
        <v>1950</v>
      </c>
      <c r="AJ51" s="575">
        <v>1860.3</v>
      </c>
      <c r="AK51" s="575">
        <v>1560</v>
      </c>
      <c r="AL51" s="575">
        <v>77.22</v>
      </c>
    </row>
    <row r="52" spans="1:38" x14ac:dyDescent="0.2">
      <c r="A52" s="576" t="s">
        <v>574</v>
      </c>
      <c r="B52" s="576">
        <v>40</v>
      </c>
      <c r="C52" s="576">
        <v>40</v>
      </c>
      <c r="D52" s="576" t="s">
        <v>590</v>
      </c>
      <c r="E52" s="576" t="s">
        <v>357</v>
      </c>
      <c r="F52" s="576"/>
      <c r="G52" s="576" t="s">
        <v>357</v>
      </c>
      <c r="H52" s="606" t="s">
        <v>478</v>
      </c>
      <c r="I52" s="576" t="s">
        <v>570</v>
      </c>
      <c r="J52" s="576"/>
      <c r="K52" s="576">
        <v>16</v>
      </c>
      <c r="L52" s="606">
        <v>64</v>
      </c>
      <c r="M52" s="576"/>
      <c r="N52" s="576"/>
      <c r="O52" s="576" t="s">
        <v>359</v>
      </c>
      <c r="P52" s="576" t="s">
        <v>360</v>
      </c>
      <c r="Q52" s="605" t="s">
        <v>555</v>
      </c>
      <c r="R52" s="576" t="s">
        <v>362</v>
      </c>
      <c r="S52" s="576">
        <v>16</v>
      </c>
      <c r="T52" s="576" t="s">
        <v>571</v>
      </c>
      <c r="U52" s="576" t="s">
        <v>572</v>
      </c>
      <c r="V52" s="576" t="s">
        <v>359</v>
      </c>
      <c r="W52" s="576" t="s">
        <v>360</v>
      </c>
      <c r="X52" s="578" t="s">
        <v>364</v>
      </c>
      <c r="Y52" s="576">
        <v>4</v>
      </c>
      <c r="Z52" s="576">
        <v>4</v>
      </c>
      <c r="AA52" s="577"/>
      <c r="AB52" s="576"/>
      <c r="AC52" s="576"/>
      <c r="AD52" s="576"/>
      <c r="AE52" s="578" t="s">
        <v>370</v>
      </c>
      <c r="AF52" s="579" t="s">
        <v>105</v>
      </c>
      <c r="AG52" s="580">
        <v>128</v>
      </c>
      <c r="AH52" s="654">
        <v>28</v>
      </c>
      <c r="AI52" s="581">
        <v>2340</v>
      </c>
      <c r="AJ52" s="581">
        <v>3968.64</v>
      </c>
      <c r="AK52" s="581">
        <v>1872</v>
      </c>
      <c r="AL52" s="581">
        <v>164.73599999999999</v>
      </c>
    </row>
    <row r="53" spans="1:38" x14ac:dyDescent="0.2">
      <c r="A53" s="576" t="s">
        <v>574</v>
      </c>
      <c r="B53" s="576">
        <v>42</v>
      </c>
      <c r="C53" s="576">
        <v>42</v>
      </c>
      <c r="D53" s="576" t="s">
        <v>590</v>
      </c>
      <c r="E53" s="576" t="s">
        <v>49</v>
      </c>
      <c r="F53" s="576"/>
      <c r="G53" s="576" t="s">
        <v>49</v>
      </c>
      <c r="H53" s="606" t="s">
        <v>478</v>
      </c>
      <c r="I53" s="576" t="s">
        <v>358</v>
      </c>
      <c r="J53" s="576"/>
      <c r="K53" s="576">
        <v>7</v>
      </c>
      <c r="L53" s="606">
        <v>28</v>
      </c>
      <c r="M53" s="576"/>
      <c r="N53" s="576"/>
      <c r="O53" s="576" t="s">
        <v>359</v>
      </c>
      <c r="P53" s="576" t="s">
        <v>360</v>
      </c>
      <c r="Q53" s="605" t="s">
        <v>555</v>
      </c>
      <c r="R53" s="576" t="s">
        <v>362</v>
      </c>
      <c r="S53" s="576">
        <v>7</v>
      </c>
      <c r="T53" s="576" t="s">
        <v>501</v>
      </c>
      <c r="U53" s="576" t="s">
        <v>573</v>
      </c>
      <c r="V53" s="576" t="s">
        <v>359</v>
      </c>
      <c r="W53" s="576" t="s">
        <v>360</v>
      </c>
      <c r="X53" s="578"/>
      <c r="Y53" s="576"/>
      <c r="Z53" s="576"/>
      <c r="AA53" s="577"/>
      <c r="AB53" s="576"/>
      <c r="AC53" s="576"/>
      <c r="AD53" s="576"/>
      <c r="AE53" s="578" t="s">
        <v>467</v>
      </c>
      <c r="AF53" s="579" t="s">
        <v>105</v>
      </c>
      <c r="AG53" s="580">
        <v>128</v>
      </c>
      <c r="AH53" s="654">
        <v>28</v>
      </c>
      <c r="AI53" s="581">
        <v>1560</v>
      </c>
      <c r="AJ53" s="581">
        <v>1157.52</v>
      </c>
      <c r="AK53" s="581">
        <v>1560</v>
      </c>
      <c r="AL53" s="581">
        <v>0</v>
      </c>
    </row>
    <row r="54" spans="1:38" x14ac:dyDescent="0.2">
      <c r="A54" s="576" t="s">
        <v>574</v>
      </c>
      <c r="B54" s="576">
        <v>72</v>
      </c>
      <c r="C54" s="576">
        <v>72</v>
      </c>
      <c r="D54" s="576" t="s">
        <v>85</v>
      </c>
      <c r="E54" s="576" t="s">
        <v>606</v>
      </c>
      <c r="F54" s="576"/>
      <c r="G54" s="576" t="s">
        <v>407</v>
      </c>
      <c r="H54" s="606" t="s">
        <v>478</v>
      </c>
      <c r="I54" s="576" t="s">
        <v>358</v>
      </c>
      <c r="J54" s="576"/>
      <c r="K54" s="576">
        <v>10</v>
      </c>
      <c r="L54" s="606">
        <v>40</v>
      </c>
      <c r="M54" s="576"/>
      <c r="N54" s="576"/>
      <c r="O54" s="576" t="s">
        <v>359</v>
      </c>
      <c r="P54" s="576" t="s">
        <v>360</v>
      </c>
      <c r="Q54" s="605" t="s">
        <v>555</v>
      </c>
      <c r="R54" s="576" t="s">
        <v>362</v>
      </c>
      <c r="S54" s="576">
        <v>10</v>
      </c>
      <c r="T54" s="576" t="s">
        <v>459</v>
      </c>
      <c r="U54" s="576" t="s">
        <v>567</v>
      </c>
      <c r="V54" s="576" t="s">
        <v>359</v>
      </c>
      <c r="W54" s="576" t="s">
        <v>360</v>
      </c>
      <c r="X54" s="578" t="s">
        <v>364</v>
      </c>
      <c r="Y54" s="576">
        <v>1</v>
      </c>
      <c r="Z54" s="576">
        <v>1</v>
      </c>
      <c r="AA54" s="577"/>
      <c r="AB54" s="576"/>
      <c r="AC54" s="576"/>
      <c r="AD54" s="576"/>
      <c r="AE54" s="578" t="s">
        <v>537</v>
      </c>
      <c r="AF54" s="579" t="s">
        <v>105</v>
      </c>
      <c r="AG54" s="580">
        <v>128</v>
      </c>
      <c r="AH54" s="654">
        <v>28</v>
      </c>
      <c r="AI54" s="581">
        <v>1950</v>
      </c>
      <c r="AJ54" s="581">
        <v>2067</v>
      </c>
      <c r="AK54" s="581">
        <v>1560</v>
      </c>
      <c r="AL54" s="581">
        <v>85.8</v>
      </c>
    </row>
    <row r="55" spans="1:38" x14ac:dyDescent="0.2">
      <c r="A55" s="576" t="s">
        <v>574</v>
      </c>
      <c r="B55" s="576">
        <v>74</v>
      </c>
      <c r="C55" s="576">
        <v>74</v>
      </c>
      <c r="D55" s="576" t="s">
        <v>85</v>
      </c>
      <c r="E55" s="576" t="s">
        <v>435</v>
      </c>
      <c r="F55" s="576"/>
      <c r="G55" s="576" t="s">
        <v>407</v>
      </c>
      <c r="H55" s="606" t="s">
        <v>478</v>
      </c>
      <c r="I55" s="576" t="s">
        <v>358</v>
      </c>
      <c r="J55" s="576"/>
      <c r="K55" s="576">
        <v>10</v>
      </c>
      <c r="L55" s="606">
        <v>40</v>
      </c>
      <c r="M55" s="576"/>
      <c r="N55" s="576"/>
      <c r="O55" s="576" t="s">
        <v>359</v>
      </c>
      <c r="P55" s="576" t="s">
        <v>360</v>
      </c>
      <c r="Q55" s="605" t="s">
        <v>555</v>
      </c>
      <c r="R55" s="576" t="s">
        <v>362</v>
      </c>
      <c r="S55" s="576">
        <v>10</v>
      </c>
      <c r="T55" s="576" t="s">
        <v>459</v>
      </c>
      <c r="U55" s="576" t="s">
        <v>567</v>
      </c>
      <c r="V55" s="576" t="s">
        <v>359</v>
      </c>
      <c r="W55" s="576" t="s">
        <v>360</v>
      </c>
      <c r="X55" s="578" t="s">
        <v>364</v>
      </c>
      <c r="Y55" s="576">
        <v>1</v>
      </c>
      <c r="Z55" s="576">
        <v>1</v>
      </c>
      <c r="AA55" s="577"/>
      <c r="AB55" s="576"/>
      <c r="AC55" s="576"/>
      <c r="AD55" s="576"/>
      <c r="AE55" s="578" t="s">
        <v>537</v>
      </c>
      <c r="AF55" s="579" t="s">
        <v>105</v>
      </c>
      <c r="AG55" s="580">
        <v>128</v>
      </c>
      <c r="AH55" s="654">
        <v>28</v>
      </c>
      <c r="AI55" s="581">
        <v>1950</v>
      </c>
      <c r="AJ55" s="581">
        <v>2067</v>
      </c>
      <c r="AK55" s="581">
        <v>1560</v>
      </c>
      <c r="AL55" s="581">
        <v>85.8</v>
      </c>
    </row>
    <row r="56" spans="1:38" x14ac:dyDescent="0.2">
      <c r="A56" s="576" t="s">
        <v>574</v>
      </c>
      <c r="B56" s="576">
        <v>76</v>
      </c>
      <c r="C56" s="576">
        <v>76</v>
      </c>
      <c r="D56" s="576" t="s">
        <v>85</v>
      </c>
      <c r="E56" s="576" t="s">
        <v>607</v>
      </c>
      <c r="F56" s="576"/>
      <c r="G56" s="576" t="s">
        <v>407</v>
      </c>
      <c r="H56" s="606" t="s">
        <v>478</v>
      </c>
      <c r="I56" s="576" t="s">
        <v>358</v>
      </c>
      <c r="J56" s="576"/>
      <c r="K56" s="576">
        <v>10</v>
      </c>
      <c r="L56" s="606">
        <v>40</v>
      </c>
      <c r="M56" s="576"/>
      <c r="N56" s="576"/>
      <c r="O56" s="576" t="s">
        <v>359</v>
      </c>
      <c r="P56" s="576" t="s">
        <v>360</v>
      </c>
      <c r="Q56" s="605" t="s">
        <v>555</v>
      </c>
      <c r="R56" s="576" t="s">
        <v>362</v>
      </c>
      <c r="S56" s="576">
        <v>10</v>
      </c>
      <c r="T56" s="576" t="s">
        <v>459</v>
      </c>
      <c r="U56" s="576" t="s">
        <v>567</v>
      </c>
      <c r="V56" s="576" t="s">
        <v>359</v>
      </c>
      <c r="W56" s="576" t="s">
        <v>360</v>
      </c>
      <c r="X56" s="578" t="s">
        <v>364</v>
      </c>
      <c r="Y56" s="576">
        <v>1</v>
      </c>
      <c r="Z56" s="576">
        <v>1</v>
      </c>
      <c r="AA56" s="577"/>
      <c r="AB56" s="576"/>
      <c r="AC56" s="576"/>
      <c r="AD56" s="576"/>
      <c r="AE56" s="578" t="s">
        <v>537</v>
      </c>
      <c r="AF56" s="579" t="s">
        <v>105</v>
      </c>
      <c r="AG56" s="580">
        <v>128</v>
      </c>
      <c r="AH56" s="654">
        <v>28</v>
      </c>
      <c r="AI56" s="581">
        <v>1950</v>
      </c>
      <c r="AJ56" s="581">
        <v>2067</v>
      </c>
      <c r="AK56" s="581">
        <v>1560</v>
      </c>
      <c r="AL56" s="581">
        <v>85.8</v>
      </c>
    </row>
    <row r="57" spans="1:38" ht="13.5" thickBot="1" x14ac:dyDescent="0.25">
      <c r="A57" s="576" t="s">
        <v>574</v>
      </c>
      <c r="B57" s="576">
        <v>78</v>
      </c>
      <c r="C57" s="576">
        <v>78</v>
      </c>
      <c r="D57" s="576" t="s">
        <v>85</v>
      </c>
      <c r="E57" s="576" t="s">
        <v>447</v>
      </c>
      <c r="F57" s="576"/>
      <c r="G57" s="576" t="s">
        <v>407</v>
      </c>
      <c r="H57" s="606" t="s">
        <v>478</v>
      </c>
      <c r="I57" s="576" t="s">
        <v>358</v>
      </c>
      <c r="J57" s="576"/>
      <c r="K57" s="576">
        <v>10</v>
      </c>
      <c r="L57" s="591">
        <v>40</v>
      </c>
      <c r="M57" s="576"/>
      <c r="N57" s="576"/>
      <c r="O57" s="576" t="s">
        <v>359</v>
      </c>
      <c r="P57" s="576" t="s">
        <v>360</v>
      </c>
      <c r="Q57" s="605" t="s">
        <v>555</v>
      </c>
      <c r="R57" s="576" t="s">
        <v>362</v>
      </c>
      <c r="S57" s="576">
        <v>10</v>
      </c>
      <c r="T57" s="576" t="s">
        <v>459</v>
      </c>
      <c r="U57" s="576" t="s">
        <v>567</v>
      </c>
      <c r="V57" s="576" t="s">
        <v>359</v>
      </c>
      <c r="W57" s="576" t="s">
        <v>360</v>
      </c>
      <c r="X57" s="578" t="s">
        <v>364</v>
      </c>
      <c r="Y57" s="576">
        <v>1</v>
      </c>
      <c r="Z57" s="576">
        <v>1</v>
      </c>
      <c r="AA57" s="577"/>
      <c r="AB57" s="576"/>
      <c r="AC57" s="576"/>
      <c r="AD57" s="576"/>
      <c r="AE57" s="578" t="s">
        <v>537</v>
      </c>
      <c r="AF57" s="579" t="s">
        <v>105</v>
      </c>
      <c r="AG57" s="580">
        <v>128</v>
      </c>
      <c r="AH57" s="654">
        <v>28</v>
      </c>
      <c r="AI57" s="581">
        <v>1950</v>
      </c>
      <c r="AJ57" s="581">
        <v>2067</v>
      </c>
      <c r="AK57" s="581">
        <v>1560</v>
      </c>
      <c r="AL57" s="581">
        <v>85.8</v>
      </c>
    </row>
    <row r="58" spans="1:38" ht="13.5" thickTop="1" x14ac:dyDescent="0.2">
      <c r="A58" s="570"/>
      <c r="B58" s="570"/>
      <c r="C58" s="570"/>
      <c r="D58" s="570"/>
      <c r="E58" s="570"/>
      <c r="F58" s="570"/>
      <c r="G58" s="570"/>
      <c r="H58" s="570"/>
      <c r="I58" s="570"/>
      <c r="J58" s="570"/>
      <c r="K58" s="570"/>
      <c r="L58" s="663">
        <v>1354</v>
      </c>
      <c r="M58" s="570"/>
      <c r="N58" s="570"/>
      <c r="O58" s="570"/>
      <c r="P58" s="570"/>
      <c r="Q58" s="570"/>
      <c r="R58" s="570"/>
      <c r="S58" s="570"/>
      <c r="T58" s="570"/>
      <c r="U58" s="570"/>
      <c r="V58" s="570"/>
      <c r="W58" s="570"/>
      <c r="X58" s="572"/>
      <c r="Y58" s="570"/>
      <c r="Z58" s="570"/>
      <c r="AA58" s="571"/>
      <c r="AB58" s="570"/>
      <c r="AC58" s="570"/>
      <c r="AD58" s="570"/>
      <c r="AE58" s="572"/>
      <c r="AF58" s="573"/>
      <c r="AG58" s="574"/>
      <c r="AH58" s="574"/>
      <c r="AI58" s="575"/>
      <c r="AJ58" s="575"/>
      <c r="AK58" s="575"/>
      <c r="AL58" s="575"/>
    </row>
    <row r="59" spans="1:38" x14ac:dyDescent="0.2">
      <c r="A59" s="576"/>
      <c r="B59" s="576"/>
      <c r="C59" s="576"/>
      <c r="D59" s="576"/>
      <c r="E59" s="576"/>
      <c r="F59" s="576"/>
      <c r="G59" s="576"/>
      <c r="H59" s="576"/>
      <c r="I59" s="576"/>
      <c r="J59" s="576"/>
      <c r="K59" s="576"/>
      <c r="L59" s="576"/>
      <c r="M59" s="576"/>
      <c r="N59" s="576"/>
      <c r="O59" s="576"/>
      <c r="P59" s="576"/>
      <c r="Q59" s="576"/>
      <c r="R59" s="576"/>
      <c r="S59" s="576"/>
      <c r="T59" s="576"/>
      <c r="U59" s="576"/>
      <c r="V59" s="576"/>
      <c r="W59" s="576"/>
      <c r="X59" s="578"/>
      <c r="Y59" s="576"/>
      <c r="Z59" s="576"/>
      <c r="AA59" s="577"/>
      <c r="AB59" s="576"/>
      <c r="AC59" s="576"/>
      <c r="AD59" s="576"/>
      <c r="AE59" s="578"/>
      <c r="AF59" s="579"/>
      <c r="AG59" s="580"/>
      <c r="AH59" s="580"/>
      <c r="AI59" s="581"/>
      <c r="AJ59" s="581"/>
      <c r="AK59" s="581"/>
      <c r="AL59" s="581"/>
    </row>
    <row r="62" spans="1:38" ht="51.75" thickBot="1" x14ac:dyDescent="0.3">
      <c r="A62" s="592" t="s">
        <v>124</v>
      </c>
      <c r="B62" s="592" t="s">
        <v>327</v>
      </c>
      <c r="C62" s="592" t="s">
        <v>328</v>
      </c>
      <c r="D62" s="592" t="s">
        <v>329</v>
      </c>
      <c r="E62" s="592" t="s">
        <v>330</v>
      </c>
      <c r="F62" s="592" t="s">
        <v>331</v>
      </c>
      <c r="G62" s="592" t="s">
        <v>332</v>
      </c>
      <c r="H62" s="607" t="s">
        <v>333</v>
      </c>
      <c r="I62" s="592" t="s">
        <v>334</v>
      </c>
      <c r="J62" s="592" t="s">
        <v>335</v>
      </c>
      <c r="K62" s="592" t="s">
        <v>336</v>
      </c>
      <c r="L62" s="607" t="s">
        <v>201</v>
      </c>
      <c r="M62" s="592" t="s">
        <v>337</v>
      </c>
      <c r="N62" s="592" t="s">
        <v>338</v>
      </c>
      <c r="O62" s="592" t="s">
        <v>339</v>
      </c>
      <c r="P62" s="592" t="s">
        <v>340</v>
      </c>
      <c r="Q62" s="607" t="s">
        <v>341</v>
      </c>
      <c r="R62" s="592" t="s">
        <v>342</v>
      </c>
      <c r="S62" s="592" t="s">
        <v>343</v>
      </c>
      <c r="T62" s="592" t="s">
        <v>344</v>
      </c>
      <c r="U62" s="592" t="s">
        <v>345</v>
      </c>
      <c r="V62" s="592" t="s">
        <v>346</v>
      </c>
      <c r="W62" s="592" t="s">
        <v>347</v>
      </c>
      <c r="X62" s="592" t="s">
        <v>348</v>
      </c>
      <c r="Y62" s="592" t="s">
        <v>349</v>
      </c>
      <c r="Z62" s="592" t="s">
        <v>350</v>
      </c>
      <c r="AA62" s="592" t="s">
        <v>351</v>
      </c>
      <c r="AB62" s="592" t="s">
        <v>352</v>
      </c>
      <c r="AC62" s="592" t="s">
        <v>353</v>
      </c>
      <c r="AD62" s="592" t="s">
        <v>179</v>
      </c>
      <c r="AE62" s="592" t="s">
        <v>354</v>
      </c>
      <c r="AF62" s="592" t="s">
        <v>355</v>
      </c>
      <c r="AG62" s="592" t="s">
        <v>356</v>
      </c>
      <c r="AH62" s="592" t="s">
        <v>278</v>
      </c>
      <c r="AI62" s="592" t="s">
        <v>279</v>
      </c>
      <c r="AJ62" s="592" t="s">
        <v>280</v>
      </c>
      <c r="AK62" s="592" t="s">
        <v>281</v>
      </c>
      <c r="AL62" s="592" t="s">
        <v>282</v>
      </c>
    </row>
    <row r="63" spans="1:38" ht="13.5" thickTop="1" x14ac:dyDescent="0.2">
      <c r="A63" s="593" t="s">
        <v>481</v>
      </c>
      <c r="B63" s="593">
        <v>41</v>
      </c>
      <c r="C63" s="593">
        <v>41</v>
      </c>
      <c r="D63" s="593" t="s">
        <v>357</v>
      </c>
      <c r="E63" s="593" t="s">
        <v>357</v>
      </c>
      <c r="F63" s="593"/>
      <c r="G63" s="593" t="s">
        <v>357</v>
      </c>
      <c r="H63" s="606" t="s">
        <v>287</v>
      </c>
      <c r="I63" s="593" t="s">
        <v>358</v>
      </c>
      <c r="J63" s="593"/>
      <c r="K63" s="593">
        <v>30</v>
      </c>
      <c r="L63" s="606">
        <v>60</v>
      </c>
      <c r="M63" s="593"/>
      <c r="N63" s="593"/>
      <c r="O63" s="593" t="s">
        <v>359</v>
      </c>
      <c r="P63" s="593" t="s">
        <v>360</v>
      </c>
      <c r="Q63" s="606" t="s">
        <v>361</v>
      </c>
      <c r="R63" s="593" t="s">
        <v>362</v>
      </c>
      <c r="S63" s="593">
        <v>30</v>
      </c>
      <c r="T63" s="593" t="s">
        <v>362</v>
      </c>
      <c r="U63" s="593" t="s">
        <v>363</v>
      </c>
      <c r="V63" s="593" t="s">
        <v>362</v>
      </c>
      <c r="W63" s="593" t="s">
        <v>362</v>
      </c>
      <c r="X63" s="595" t="s">
        <v>364</v>
      </c>
      <c r="Y63" s="593">
        <v>4</v>
      </c>
      <c r="Z63" s="593">
        <v>3</v>
      </c>
      <c r="AA63" s="594"/>
      <c r="AB63" s="593"/>
      <c r="AC63" s="593"/>
      <c r="AD63" s="593"/>
      <c r="AE63" s="595" t="s">
        <v>365</v>
      </c>
      <c r="AF63" s="596" t="s">
        <v>105</v>
      </c>
      <c r="AG63" s="597">
        <v>64</v>
      </c>
      <c r="AH63" s="597">
        <v>28</v>
      </c>
      <c r="AI63" s="598">
        <v>2160</v>
      </c>
      <c r="AJ63" s="598">
        <v>2332.8000000000002</v>
      </c>
      <c r="AK63" s="598">
        <v>1728</v>
      </c>
      <c r="AL63" s="598">
        <v>362.88</v>
      </c>
    </row>
    <row r="64" spans="1:38" x14ac:dyDescent="0.2">
      <c r="A64" s="599" t="s">
        <v>481</v>
      </c>
      <c r="B64" s="599">
        <v>42</v>
      </c>
      <c r="C64" s="599">
        <v>42</v>
      </c>
      <c r="D64" s="599" t="s">
        <v>357</v>
      </c>
      <c r="E64" s="599" t="s">
        <v>366</v>
      </c>
      <c r="F64" s="599"/>
      <c r="G64" s="599" t="s">
        <v>367</v>
      </c>
      <c r="H64" s="606" t="s">
        <v>287</v>
      </c>
      <c r="I64" s="599" t="s">
        <v>368</v>
      </c>
      <c r="J64" s="599"/>
      <c r="K64" s="599">
        <v>3</v>
      </c>
      <c r="L64" s="606">
        <v>6</v>
      </c>
      <c r="M64" s="599"/>
      <c r="N64" s="599"/>
      <c r="O64" s="599" t="s">
        <v>359</v>
      </c>
      <c r="P64" s="599" t="s">
        <v>360</v>
      </c>
      <c r="Q64" s="606" t="s">
        <v>361</v>
      </c>
      <c r="R64" s="599" t="s">
        <v>362</v>
      </c>
      <c r="S64" s="599">
        <v>3</v>
      </c>
      <c r="T64" s="599" t="s">
        <v>362</v>
      </c>
      <c r="U64" s="599" t="s">
        <v>363</v>
      </c>
      <c r="V64" s="599" t="s">
        <v>362</v>
      </c>
      <c r="W64" s="599" t="s">
        <v>362</v>
      </c>
      <c r="X64" s="601" t="s">
        <v>369</v>
      </c>
      <c r="Y64" s="599">
        <v>1</v>
      </c>
      <c r="Z64" s="599">
        <v>1</v>
      </c>
      <c r="AA64" s="600"/>
      <c r="AB64" s="599"/>
      <c r="AC64" s="599"/>
      <c r="AD64" s="599"/>
      <c r="AE64" s="601" t="s">
        <v>370</v>
      </c>
      <c r="AF64" s="602" t="s">
        <v>105</v>
      </c>
      <c r="AG64" s="597">
        <v>64</v>
      </c>
      <c r="AH64" s="597">
        <v>28</v>
      </c>
      <c r="AI64" s="604">
        <v>2160</v>
      </c>
      <c r="AJ64" s="604">
        <v>233.28</v>
      </c>
      <c r="AK64" s="604">
        <v>1728</v>
      </c>
      <c r="AL64" s="604">
        <v>36.287999999999997</v>
      </c>
    </row>
    <row r="65" spans="1:38" x14ac:dyDescent="0.2">
      <c r="A65" s="593" t="s">
        <v>481</v>
      </c>
      <c r="B65" s="593">
        <v>43</v>
      </c>
      <c r="C65" s="593">
        <v>43</v>
      </c>
      <c r="D65" s="593" t="s">
        <v>357</v>
      </c>
      <c r="E65" s="593" t="s">
        <v>371</v>
      </c>
      <c r="F65" s="593"/>
      <c r="G65" s="593" t="s">
        <v>367</v>
      </c>
      <c r="H65" s="606" t="s">
        <v>287</v>
      </c>
      <c r="I65" s="593" t="s">
        <v>368</v>
      </c>
      <c r="J65" s="593"/>
      <c r="K65" s="593">
        <v>3</v>
      </c>
      <c r="L65" s="606">
        <v>6</v>
      </c>
      <c r="M65" s="593"/>
      <c r="N65" s="593"/>
      <c r="O65" s="593" t="s">
        <v>359</v>
      </c>
      <c r="P65" s="593" t="s">
        <v>360</v>
      </c>
      <c r="Q65" s="606" t="s">
        <v>361</v>
      </c>
      <c r="R65" s="593" t="s">
        <v>362</v>
      </c>
      <c r="S65" s="593">
        <v>3</v>
      </c>
      <c r="T65" s="593" t="s">
        <v>362</v>
      </c>
      <c r="U65" s="593" t="s">
        <v>363</v>
      </c>
      <c r="V65" s="593" t="s">
        <v>362</v>
      </c>
      <c r="W65" s="593" t="s">
        <v>362</v>
      </c>
      <c r="X65" s="595" t="s">
        <v>369</v>
      </c>
      <c r="Y65" s="593">
        <v>1</v>
      </c>
      <c r="Z65" s="593">
        <v>1</v>
      </c>
      <c r="AA65" s="594"/>
      <c r="AB65" s="593"/>
      <c r="AC65" s="593"/>
      <c r="AD65" s="593"/>
      <c r="AE65" s="595" t="s">
        <v>370</v>
      </c>
      <c r="AF65" s="596" t="s">
        <v>105</v>
      </c>
      <c r="AG65" s="597">
        <v>64</v>
      </c>
      <c r="AH65" s="597">
        <v>28</v>
      </c>
      <c r="AI65" s="598">
        <v>2160</v>
      </c>
      <c r="AJ65" s="598">
        <v>233.28</v>
      </c>
      <c r="AK65" s="598">
        <v>1728</v>
      </c>
      <c r="AL65" s="598">
        <v>36.287999999999997</v>
      </c>
    </row>
    <row r="66" spans="1:38" x14ac:dyDescent="0.2">
      <c r="A66" s="599" t="s">
        <v>481</v>
      </c>
      <c r="B66" s="599">
        <v>44</v>
      </c>
      <c r="C66" s="599">
        <v>44</v>
      </c>
      <c r="D66" s="599" t="s">
        <v>357</v>
      </c>
      <c r="E66" s="599" t="s">
        <v>372</v>
      </c>
      <c r="F66" s="599"/>
      <c r="G66" s="599" t="s">
        <v>373</v>
      </c>
      <c r="H66" s="606" t="s">
        <v>287</v>
      </c>
      <c r="I66" s="599" t="s">
        <v>374</v>
      </c>
      <c r="J66" s="599"/>
      <c r="K66" s="599">
        <v>2</v>
      </c>
      <c r="L66" s="606">
        <v>4</v>
      </c>
      <c r="M66" s="599"/>
      <c r="N66" s="599"/>
      <c r="O66" s="599" t="s">
        <v>359</v>
      </c>
      <c r="P66" s="599" t="s">
        <v>360</v>
      </c>
      <c r="Q66" s="606" t="s">
        <v>361</v>
      </c>
      <c r="R66" s="599" t="s">
        <v>362</v>
      </c>
      <c r="S66" s="599">
        <v>2</v>
      </c>
      <c r="T66" s="599" t="s">
        <v>362</v>
      </c>
      <c r="U66" s="599" t="s">
        <v>363</v>
      </c>
      <c r="V66" s="599" t="s">
        <v>362</v>
      </c>
      <c r="W66" s="599" t="s">
        <v>362</v>
      </c>
      <c r="X66" s="601" t="s">
        <v>369</v>
      </c>
      <c r="Y66" s="599">
        <v>1</v>
      </c>
      <c r="Z66" s="599">
        <v>1</v>
      </c>
      <c r="AA66" s="600"/>
      <c r="AB66" s="599"/>
      <c r="AC66" s="599"/>
      <c r="AD66" s="599"/>
      <c r="AE66" s="601" t="s">
        <v>370</v>
      </c>
      <c r="AF66" s="602" t="s">
        <v>105</v>
      </c>
      <c r="AG66" s="597">
        <v>64</v>
      </c>
      <c r="AH66" s="597">
        <v>28</v>
      </c>
      <c r="AI66" s="604">
        <v>360</v>
      </c>
      <c r="AJ66" s="604">
        <v>25.92</v>
      </c>
      <c r="AK66" s="604">
        <v>288</v>
      </c>
      <c r="AL66" s="604">
        <v>4.032</v>
      </c>
    </row>
    <row r="67" spans="1:38" x14ac:dyDescent="0.2">
      <c r="A67" s="599" t="s">
        <v>481</v>
      </c>
      <c r="B67" s="599">
        <v>46</v>
      </c>
      <c r="C67" s="599">
        <v>46</v>
      </c>
      <c r="D67" s="599" t="s">
        <v>357</v>
      </c>
      <c r="E67" s="599" t="s">
        <v>49</v>
      </c>
      <c r="F67" s="599"/>
      <c r="G67" s="599" t="s">
        <v>49</v>
      </c>
      <c r="H67" s="606" t="s">
        <v>287</v>
      </c>
      <c r="I67" s="599" t="s">
        <v>375</v>
      </c>
      <c r="J67" s="599"/>
      <c r="K67" s="599">
        <v>2</v>
      </c>
      <c r="L67" s="606">
        <v>4</v>
      </c>
      <c r="M67" s="599"/>
      <c r="N67" s="599"/>
      <c r="O67" s="599" t="s">
        <v>359</v>
      </c>
      <c r="P67" s="599" t="s">
        <v>360</v>
      </c>
      <c r="Q67" s="606" t="s">
        <v>361</v>
      </c>
      <c r="R67" s="599" t="s">
        <v>362</v>
      </c>
      <c r="S67" s="599">
        <v>2</v>
      </c>
      <c r="T67" s="599" t="s">
        <v>362</v>
      </c>
      <c r="U67" s="599" t="s">
        <v>376</v>
      </c>
      <c r="V67" s="599" t="s">
        <v>362</v>
      </c>
      <c r="W67" s="599" t="s">
        <v>362</v>
      </c>
      <c r="X67" s="601"/>
      <c r="Y67" s="599"/>
      <c r="Z67" s="599"/>
      <c r="AA67" s="600"/>
      <c r="AB67" s="599"/>
      <c r="AC67" s="599"/>
      <c r="AD67" s="599"/>
      <c r="AE67" s="601" t="s">
        <v>370</v>
      </c>
      <c r="AF67" s="602" t="s">
        <v>105</v>
      </c>
      <c r="AG67" s="597">
        <v>64</v>
      </c>
      <c r="AH67" s="597">
        <v>28</v>
      </c>
      <c r="AI67" s="604">
        <v>1800</v>
      </c>
      <c r="AJ67" s="604">
        <v>129.6</v>
      </c>
      <c r="AK67" s="604">
        <v>1800</v>
      </c>
      <c r="AL67" s="604">
        <v>0</v>
      </c>
    </row>
    <row r="68" spans="1:38" x14ac:dyDescent="0.2">
      <c r="A68" s="593" t="s">
        <v>481</v>
      </c>
      <c r="B68" s="593">
        <v>1</v>
      </c>
      <c r="C68" s="593">
        <v>1</v>
      </c>
      <c r="D68" s="593" t="s">
        <v>377</v>
      </c>
      <c r="E68" s="593" t="s">
        <v>378</v>
      </c>
      <c r="F68" s="593"/>
      <c r="G68" s="593" t="s">
        <v>379</v>
      </c>
      <c r="H68" s="606" t="s">
        <v>380</v>
      </c>
      <c r="I68" s="593" t="s">
        <v>358</v>
      </c>
      <c r="J68" s="593"/>
      <c r="K68" s="593">
        <v>8</v>
      </c>
      <c r="L68" s="606">
        <v>16</v>
      </c>
      <c r="M68" s="593"/>
      <c r="N68" s="593"/>
      <c r="O68" s="593" t="s">
        <v>359</v>
      </c>
      <c r="P68" s="593" t="s">
        <v>360</v>
      </c>
      <c r="Q68" s="606" t="s">
        <v>361</v>
      </c>
      <c r="R68" s="593" t="s">
        <v>362</v>
      </c>
      <c r="S68" s="593">
        <v>8</v>
      </c>
      <c r="T68" s="593" t="s">
        <v>381</v>
      </c>
      <c r="U68" s="593" t="s">
        <v>382</v>
      </c>
      <c r="V68" s="593" t="s">
        <v>359</v>
      </c>
      <c r="W68" s="593" t="s">
        <v>360</v>
      </c>
      <c r="X68" s="595"/>
      <c r="Y68" s="593"/>
      <c r="Z68" s="593"/>
      <c r="AA68" s="594"/>
      <c r="AB68" s="593"/>
      <c r="AC68" s="593"/>
      <c r="AD68" s="593"/>
      <c r="AE68" s="595" t="s">
        <v>383</v>
      </c>
      <c r="AF68" s="596" t="s">
        <v>105</v>
      </c>
      <c r="AG68" s="597">
        <v>64</v>
      </c>
      <c r="AH68" s="597">
        <v>28</v>
      </c>
      <c r="AI68" s="598">
        <v>2160</v>
      </c>
      <c r="AJ68" s="598">
        <v>622.08000000000004</v>
      </c>
      <c r="AK68" s="598">
        <v>2160</v>
      </c>
      <c r="AL68" s="598">
        <v>0</v>
      </c>
    </row>
    <row r="69" spans="1:38" x14ac:dyDescent="0.2">
      <c r="A69" s="599" t="s">
        <v>481</v>
      </c>
      <c r="B69" s="599">
        <v>2</v>
      </c>
      <c r="C69" s="599">
        <v>2</v>
      </c>
      <c r="D69" s="599" t="s">
        <v>377</v>
      </c>
      <c r="E69" s="599" t="s">
        <v>384</v>
      </c>
      <c r="F69" s="599"/>
      <c r="G69" s="599" t="s">
        <v>379</v>
      </c>
      <c r="H69" s="606" t="s">
        <v>380</v>
      </c>
      <c r="I69" s="599" t="s">
        <v>358</v>
      </c>
      <c r="J69" s="599"/>
      <c r="K69" s="599">
        <v>6</v>
      </c>
      <c r="L69" s="606">
        <v>12</v>
      </c>
      <c r="M69" s="599"/>
      <c r="N69" s="599"/>
      <c r="O69" s="599" t="s">
        <v>359</v>
      </c>
      <c r="P69" s="599" t="s">
        <v>360</v>
      </c>
      <c r="Q69" s="606" t="s">
        <v>361</v>
      </c>
      <c r="R69" s="599" t="s">
        <v>362</v>
      </c>
      <c r="S69" s="599">
        <v>6</v>
      </c>
      <c r="T69" s="599" t="s">
        <v>385</v>
      </c>
      <c r="U69" s="599" t="s">
        <v>386</v>
      </c>
      <c r="V69" s="599" t="s">
        <v>359</v>
      </c>
      <c r="W69" s="599" t="s">
        <v>360</v>
      </c>
      <c r="X69" s="601"/>
      <c r="Y69" s="599"/>
      <c r="Z69" s="599"/>
      <c r="AA69" s="600"/>
      <c r="AB69" s="599"/>
      <c r="AC69" s="599"/>
      <c r="AD69" s="599"/>
      <c r="AE69" s="601" t="s">
        <v>383</v>
      </c>
      <c r="AF69" s="602" t="s">
        <v>105</v>
      </c>
      <c r="AG69" s="597">
        <v>64</v>
      </c>
      <c r="AH69" s="597">
        <v>28</v>
      </c>
      <c r="AI69" s="604">
        <v>2160</v>
      </c>
      <c r="AJ69" s="604">
        <v>466.56</v>
      </c>
      <c r="AK69" s="604">
        <v>2160</v>
      </c>
      <c r="AL69" s="604">
        <v>0</v>
      </c>
    </row>
    <row r="70" spans="1:38" x14ac:dyDescent="0.2">
      <c r="A70" s="593" t="s">
        <v>481</v>
      </c>
      <c r="B70" s="593">
        <v>3</v>
      </c>
      <c r="C70" s="593">
        <v>3</v>
      </c>
      <c r="D70" s="593" t="s">
        <v>377</v>
      </c>
      <c r="E70" s="593" t="s">
        <v>387</v>
      </c>
      <c r="F70" s="593"/>
      <c r="G70" s="593" t="s">
        <v>379</v>
      </c>
      <c r="H70" s="606" t="s">
        <v>380</v>
      </c>
      <c r="I70" s="593" t="s">
        <v>358</v>
      </c>
      <c r="J70" s="593"/>
      <c r="K70" s="593">
        <v>3</v>
      </c>
      <c r="L70" s="606">
        <v>6</v>
      </c>
      <c r="M70" s="593"/>
      <c r="N70" s="593"/>
      <c r="O70" s="593" t="s">
        <v>359</v>
      </c>
      <c r="P70" s="593" t="s">
        <v>360</v>
      </c>
      <c r="Q70" s="606" t="s">
        <v>361</v>
      </c>
      <c r="R70" s="593" t="s">
        <v>362</v>
      </c>
      <c r="S70" s="593">
        <v>3</v>
      </c>
      <c r="T70" s="593" t="s">
        <v>388</v>
      </c>
      <c r="U70" s="593" t="s">
        <v>389</v>
      </c>
      <c r="V70" s="593" t="s">
        <v>359</v>
      </c>
      <c r="W70" s="593" t="s">
        <v>360</v>
      </c>
      <c r="X70" s="595" t="s">
        <v>369</v>
      </c>
      <c r="Y70" s="593">
        <v>1</v>
      </c>
      <c r="Z70" s="593">
        <v>1</v>
      </c>
      <c r="AA70" s="594"/>
      <c r="AB70" s="593"/>
      <c r="AC70" s="593"/>
      <c r="AD70" s="593"/>
      <c r="AE70" s="595" t="s">
        <v>383</v>
      </c>
      <c r="AF70" s="596" t="s">
        <v>105</v>
      </c>
      <c r="AG70" s="597">
        <v>64</v>
      </c>
      <c r="AH70" s="597">
        <v>28</v>
      </c>
      <c r="AI70" s="598">
        <v>2160</v>
      </c>
      <c r="AJ70" s="598">
        <v>233.28</v>
      </c>
      <c r="AK70" s="598">
        <v>1728</v>
      </c>
      <c r="AL70" s="598">
        <v>36.287999999999997</v>
      </c>
    </row>
    <row r="71" spans="1:38" x14ac:dyDescent="0.2">
      <c r="A71" s="599" t="s">
        <v>481</v>
      </c>
      <c r="B71" s="599">
        <v>4</v>
      </c>
      <c r="C71" s="599">
        <v>4</v>
      </c>
      <c r="D71" s="599" t="s">
        <v>377</v>
      </c>
      <c r="E71" s="599" t="s">
        <v>390</v>
      </c>
      <c r="F71" s="599"/>
      <c r="G71" s="599" t="s">
        <v>379</v>
      </c>
      <c r="H71" s="606" t="s">
        <v>380</v>
      </c>
      <c r="I71" s="599" t="s">
        <v>358</v>
      </c>
      <c r="J71" s="599"/>
      <c r="K71" s="599">
        <v>2</v>
      </c>
      <c r="L71" s="606">
        <v>4</v>
      </c>
      <c r="M71" s="599"/>
      <c r="N71" s="599"/>
      <c r="O71" s="599" t="s">
        <v>359</v>
      </c>
      <c r="P71" s="599" t="s">
        <v>360</v>
      </c>
      <c r="Q71" s="606" t="s">
        <v>361</v>
      </c>
      <c r="R71" s="599" t="s">
        <v>362</v>
      </c>
      <c r="S71" s="599">
        <v>2</v>
      </c>
      <c r="T71" s="599" t="s">
        <v>391</v>
      </c>
      <c r="U71" s="599" t="s">
        <v>392</v>
      </c>
      <c r="V71" s="599" t="s">
        <v>359</v>
      </c>
      <c r="W71" s="599" t="s">
        <v>360</v>
      </c>
      <c r="X71" s="601" t="s">
        <v>369</v>
      </c>
      <c r="Y71" s="599">
        <v>1</v>
      </c>
      <c r="Z71" s="599">
        <v>1</v>
      </c>
      <c r="AA71" s="600"/>
      <c r="AB71" s="599"/>
      <c r="AC71" s="599"/>
      <c r="AD71" s="599"/>
      <c r="AE71" s="601" t="s">
        <v>383</v>
      </c>
      <c r="AF71" s="602" t="s">
        <v>105</v>
      </c>
      <c r="AG71" s="597">
        <v>64</v>
      </c>
      <c r="AH71" s="597">
        <v>28</v>
      </c>
      <c r="AI71" s="604">
        <v>2160</v>
      </c>
      <c r="AJ71" s="604">
        <v>155.52000000000001</v>
      </c>
      <c r="AK71" s="604">
        <v>1728</v>
      </c>
      <c r="AL71" s="604">
        <v>24.192</v>
      </c>
    </row>
    <row r="72" spans="1:38" x14ac:dyDescent="0.2">
      <c r="A72" s="593" t="s">
        <v>481</v>
      </c>
      <c r="B72" s="593">
        <v>5</v>
      </c>
      <c r="C72" s="593">
        <v>5</v>
      </c>
      <c r="D72" s="593" t="s">
        <v>377</v>
      </c>
      <c r="E72" s="593" t="s">
        <v>393</v>
      </c>
      <c r="F72" s="593"/>
      <c r="G72" s="593" t="s">
        <v>379</v>
      </c>
      <c r="H72" s="606" t="s">
        <v>380</v>
      </c>
      <c r="I72" s="593" t="s">
        <v>358</v>
      </c>
      <c r="J72" s="593"/>
      <c r="K72" s="593">
        <v>2</v>
      </c>
      <c r="L72" s="606">
        <v>4</v>
      </c>
      <c r="M72" s="593"/>
      <c r="N72" s="593"/>
      <c r="O72" s="593" t="s">
        <v>359</v>
      </c>
      <c r="P72" s="593" t="s">
        <v>360</v>
      </c>
      <c r="Q72" s="606" t="s">
        <v>361</v>
      </c>
      <c r="R72" s="593" t="s">
        <v>362</v>
      </c>
      <c r="S72" s="593">
        <v>2</v>
      </c>
      <c r="T72" s="593" t="s">
        <v>391</v>
      </c>
      <c r="U72" s="593" t="s">
        <v>392</v>
      </c>
      <c r="V72" s="593" t="s">
        <v>359</v>
      </c>
      <c r="W72" s="593" t="s">
        <v>360</v>
      </c>
      <c r="X72" s="595" t="s">
        <v>369</v>
      </c>
      <c r="Y72" s="593">
        <v>1</v>
      </c>
      <c r="Z72" s="593">
        <v>1</v>
      </c>
      <c r="AA72" s="594"/>
      <c r="AB72" s="593"/>
      <c r="AC72" s="593"/>
      <c r="AD72" s="593"/>
      <c r="AE72" s="595" t="s">
        <v>383</v>
      </c>
      <c r="AF72" s="596" t="s">
        <v>105</v>
      </c>
      <c r="AG72" s="597">
        <v>64</v>
      </c>
      <c r="AH72" s="597">
        <v>28</v>
      </c>
      <c r="AI72" s="598">
        <v>2160</v>
      </c>
      <c r="AJ72" s="598">
        <v>155.52000000000001</v>
      </c>
      <c r="AK72" s="598">
        <v>1728</v>
      </c>
      <c r="AL72" s="598">
        <v>24.192</v>
      </c>
    </row>
    <row r="73" spans="1:38" x14ac:dyDescent="0.2">
      <c r="A73" s="599" t="s">
        <v>481</v>
      </c>
      <c r="B73" s="599">
        <v>6</v>
      </c>
      <c r="C73" s="599">
        <v>6</v>
      </c>
      <c r="D73" s="599" t="s">
        <v>377</v>
      </c>
      <c r="E73" s="599" t="s">
        <v>394</v>
      </c>
      <c r="F73" s="599"/>
      <c r="G73" s="599" t="s">
        <v>379</v>
      </c>
      <c r="H73" s="606" t="s">
        <v>380</v>
      </c>
      <c r="I73" s="599" t="s">
        <v>358</v>
      </c>
      <c r="J73" s="599"/>
      <c r="K73" s="599">
        <v>1</v>
      </c>
      <c r="L73" s="606">
        <v>2</v>
      </c>
      <c r="M73" s="599"/>
      <c r="N73" s="599"/>
      <c r="O73" s="599" t="s">
        <v>359</v>
      </c>
      <c r="P73" s="599" t="s">
        <v>360</v>
      </c>
      <c r="Q73" s="606" t="s">
        <v>361</v>
      </c>
      <c r="R73" s="599" t="s">
        <v>362</v>
      </c>
      <c r="S73" s="599">
        <v>1</v>
      </c>
      <c r="T73" s="599" t="s">
        <v>395</v>
      </c>
      <c r="U73" s="599" t="s">
        <v>396</v>
      </c>
      <c r="V73" s="599" t="s">
        <v>359</v>
      </c>
      <c r="W73" s="599" t="s">
        <v>360</v>
      </c>
      <c r="X73" s="601" t="s">
        <v>369</v>
      </c>
      <c r="Y73" s="599">
        <v>1</v>
      </c>
      <c r="Z73" s="599">
        <v>1</v>
      </c>
      <c r="AA73" s="600"/>
      <c r="AB73" s="599"/>
      <c r="AC73" s="599"/>
      <c r="AD73" s="599"/>
      <c r="AE73" s="601" t="s">
        <v>383</v>
      </c>
      <c r="AF73" s="602" t="s">
        <v>105</v>
      </c>
      <c r="AG73" s="597">
        <v>64</v>
      </c>
      <c r="AH73" s="597">
        <v>28</v>
      </c>
      <c r="AI73" s="604">
        <v>2160</v>
      </c>
      <c r="AJ73" s="604">
        <v>77.760000000000005</v>
      </c>
      <c r="AK73" s="604">
        <v>1728</v>
      </c>
      <c r="AL73" s="604">
        <v>12.096</v>
      </c>
    </row>
    <row r="74" spans="1:38" x14ac:dyDescent="0.2">
      <c r="A74" s="593" t="s">
        <v>481</v>
      </c>
      <c r="B74" s="593">
        <v>7</v>
      </c>
      <c r="C74" s="593">
        <v>7</v>
      </c>
      <c r="D74" s="593" t="s">
        <v>377</v>
      </c>
      <c r="E74" s="593" t="s">
        <v>397</v>
      </c>
      <c r="F74" s="593"/>
      <c r="G74" s="593" t="s">
        <v>379</v>
      </c>
      <c r="H74" s="606" t="s">
        <v>380</v>
      </c>
      <c r="I74" s="593" t="s">
        <v>358</v>
      </c>
      <c r="J74" s="593"/>
      <c r="K74" s="593">
        <v>1</v>
      </c>
      <c r="L74" s="606">
        <v>2</v>
      </c>
      <c r="M74" s="593"/>
      <c r="N74" s="593"/>
      <c r="O74" s="593" t="s">
        <v>359</v>
      </c>
      <c r="P74" s="593" t="s">
        <v>360</v>
      </c>
      <c r="Q74" s="606" t="s">
        <v>361</v>
      </c>
      <c r="R74" s="593" t="s">
        <v>362</v>
      </c>
      <c r="S74" s="593">
        <v>1</v>
      </c>
      <c r="T74" s="593" t="s">
        <v>395</v>
      </c>
      <c r="U74" s="593" t="s">
        <v>396</v>
      </c>
      <c r="V74" s="593" t="s">
        <v>359</v>
      </c>
      <c r="W74" s="593" t="s">
        <v>360</v>
      </c>
      <c r="X74" s="595" t="s">
        <v>369</v>
      </c>
      <c r="Y74" s="593">
        <v>1</v>
      </c>
      <c r="Z74" s="593">
        <v>1</v>
      </c>
      <c r="AA74" s="594"/>
      <c r="AB74" s="593"/>
      <c r="AC74" s="593"/>
      <c r="AD74" s="593"/>
      <c r="AE74" s="595"/>
      <c r="AF74" s="596" t="s">
        <v>105</v>
      </c>
      <c r="AG74" s="597">
        <v>64</v>
      </c>
      <c r="AH74" s="597">
        <v>28</v>
      </c>
      <c r="AI74" s="598">
        <v>2160</v>
      </c>
      <c r="AJ74" s="598">
        <v>77.760000000000005</v>
      </c>
      <c r="AK74" s="598">
        <v>1728</v>
      </c>
      <c r="AL74" s="598">
        <v>12.096</v>
      </c>
    </row>
    <row r="75" spans="1:38" x14ac:dyDescent="0.2">
      <c r="A75" s="593" t="s">
        <v>481</v>
      </c>
      <c r="B75" s="593">
        <v>9</v>
      </c>
      <c r="C75" s="593">
        <v>9</v>
      </c>
      <c r="D75" s="593" t="s">
        <v>377</v>
      </c>
      <c r="E75" s="593" t="s">
        <v>398</v>
      </c>
      <c r="F75" s="593"/>
      <c r="G75" s="593" t="s">
        <v>367</v>
      </c>
      <c r="H75" s="606" t="s">
        <v>380</v>
      </c>
      <c r="I75" s="593" t="s">
        <v>368</v>
      </c>
      <c r="J75" s="593"/>
      <c r="K75" s="593">
        <v>1</v>
      </c>
      <c r="L75" s="606">
        <v>2</v>
      </c>
      <c r="M75" s="593"/>
      <c r="N75" s="593"/>
      <c r="O75" s="593" t="s">
        <v>359</v>
      </c>
      <c r="P75" s="593" t="s">
        <v>360</v>
      </c>
      <c r="Q75" s="606" t="s">
        <v>361</v>
      </c>
      <c r="R75" s="593" t="s">
        <v>362</v>
      </c>
      <c r="S75" s="593">
        <v>1</v>
      </c>
      <c r="T75" s="593" t="s">
        <v>395</v>
      </c>
      <c r="U75" s="593" t="s">
        <v>396</v>
      </c>
      <c r="V75" s="593" t="s">
        <v>359</v>
      </c>
      <c r="W75" s="593" t="s">
        <v>360</v>
      </c>
      <c r="X75" s="595" t="s">
        <v>369</v>
      </c>
      <c r="Y75" s="593">
        <v>1</v>
      </c>
      <c r="Z75" s="593">
        <v>1</v>
      </c>
      <c r="AA75" s="594"/>
      <c r="AB75" s="593"/>
      <c r="AC75" s="593"/>
      <c r="AD75" s="593"/>
      <c r="AE75" s="595"/>
      <c r="AF75" s="596" t="s">
        <v>105</v>
      </c>
      <c r="AG75" s="597">
        <v>64</v>
      </c>
      <c r="AH75" s="597">
        <v>28</v>
      </c>
      <c r="AI75" s="598">
        <v>2160</v>
      </c>
      <c r="AJ75" s="598">
        <v>77.760000000000005</v>
      </c>
      <c r="AK75" s="598">
        <v>1728</v>
      </c>
      <c r="AL75" s="598">
        <v>12.096</v>
      </c>
    </row>
    <row r="76" spans="1:38" x14ac:dyDescent="0.2">
      <c r="A76" s="599" t="s">
        <v>481</v>
      </c>
      <c r="B76" s="599">
        <v>10</v>
      </c>
      <c r="C76" s="599">
        <v>10</v>
      </c>
      <c r="D76" s="599" t="s">
        <v>377</v>
      </c>
      <c r="E76" s="599" t="s">
        <v>399</v>
      </c>
      <c r="F76" s="599"/>
      <c r="G76" s="599" t="s">
        <v>367</v>
      </c>
      <c r="H76" s="606" t="s">
        <v>380</v>
      </c>
      <c r="I76" s="599" t="s">
        <v>368</v>
      </c>
      <c r="J76" s="599"/>
      <c r="K76" s="599">
        <v>1</v>
      </c>
      <c r="L76" s="606">
        <v>2</v>
      </c>
      <c r="M76" s="599"/>
      <c r="N76" s="599"/>
      <c r="O76" s="599" t="s">
        <v>359</v>
      </c>
      <c r="P76" s="599" t="s">
        <v>360</v>
      </c>
      <c r="Q76" s="606" t="s">
        <v>361</v>
      </c>
      <c r="R76" s="599" t="s">
        <v>362</v>
      </c>
      <c r="S76" s="599">
        <v>1</v>
      </c>
      <c r="T76" s="599" t="s">
        <v>395</v>
      </c>
      <c r="U76" s="599" t="s">
        <v>396</v>
      </c>
      <c r="V76" s="599" t="s">
        <v>359</v>
      </c>
      <c r="W76" s="599" t="s">
        <v>360</v>
      </c>
      <c r="X76" s="601" t="s">
        <v>369</v>
      </c>
      <c r="Y76" s="599">
        <v>1</v>
      </c>
      <c r="Z76" s="599">
        <v>1</v>
      </c>
      <c r="AA76" s="600"/>
      <c r="AB76" s="599"/>
      <c r="AC76" s="599"/>
      <c r="AD76" s="599"/>
      <c r="AE76" s="601"/>
      <c r="AF76" s="602" t="s">
        <v>105</v>
      </c>
      <c r="AG76" s="597">
        <v>64</v>
      </c>
      <c r="AH76" s="597">
        <v>28</v>
      </c>
      <c r="AI76" s="604">
        <v>2160</v>
      </c>
      <c r="AJ76" s="604">
        <v>77.760000000000005</v>
      </c>
      <c r="AK76" s="604">
        <v>1728</v>
      </c>
      <c r="AL76" s="604">
        <v>12.096</v>
      </c>
    </row>
    <row r="77" spans="1:38" x14ac:dyDescent="0.2">
      <c r="A77" s="593" t="s">
        <v>481</v>
      </c>
      <c r="B77" s="593">
        <v>11</v>
      </c>
      <c r="C77" s="593">
        <v>11</v>
      </c>
      <c r="D77" s="593" t="s">
        <v>400</v>
      </c>
      <c r="E77" s="593" t="s">
        <v>401</v>
      </c>
      <c r="F77" s="593"/>
      <c r="G77" s="593" t="s">
        <v>402</v>
      </c>
      <c r="H77" s="606" t="s">
        <v>380</v>
      </c>
      <c r="I77" s="593" t="s">
        <v>358</v>
      </c>
      <c r="J77" s="593"/>
      <c r="K77" s="593">
        <v>40</v>
      </c>
      <c r="L77" s="606">
        <v>80</v>
      </c>
      <c r="M77" s="593"/>
      <c r="N77" s="593"/>
      <c r="O77" s="593" t="s">
        <v>359</v>
      </c>
      <c r="P77" s="593" t="s">
        <v>360</v>
      </c>
      <c r="Q77" s="606" t="s">
        <v>361</v>
      </c>
      <c r="R77" s="593" t="s">
        <v>362</v>
      </c>
      <c r="S77" s="593">
        <v>40</v>
      </c>
      <c r="T77" s="593" t="s">
        <v>403</v>
      </c>
      <c r="U77" s="593" t="s">
        <v>404</v>
      </c>
      <c r="V77" s="593" t="s">
        <v>359</v>
      </c>
      <c r="W77" s="593" t="s">
        <v>360</v>
      </c>
      <c r="X77" s="595"/>
      <c r="Y77" s="593"/>
      <c r="Z77" s="593"/>
      <c r="AA77" s="594"/>
      <c r="AB77" s="593"/>
      <c r="AC77" s="593"/>
      <c r="AD77" s="593"/>
      <c r="AE77" s="595" t="s">
        <v>370</v>
      </c>
      <c r="AF77" s="596" t="s">
        <v>105</v>
      </c>
      <c r="AG77" s="597">
        <v>64</v>
      </c>
      <c r="AH77" s="597">
        <v>28</v>
      </c>
      <c r="AI77" s="598">
        <v>2160</v>
      </c>
      <c r="AJ77" s="598">
        <v>3110.4</v>
      </c>
      <c r="AK77" s="598">
        <v>2160</v>
      </c>
      <c r="AL77" s="598">
        <v>0</v>
      </c>
    </row>
    <row r="78" spans="1:38" x14ac:dyDescent="0.2">
      <c r="A78" s="599" t="s">
        <v>481</v>
      </c>
      <c r="B78" s="599">
        <v>12</v>
      </c>
      <c r="C78" s="599">
        <v>12</v>
      </c>
      <c r="D78" s="599" t="s">
        <v>400</v>
      </c>
      <c r="E78" s="599" t="s">
        <v>405</v>
      </c>
      <c r="F78" s="599"/>
      <c r="G78" s="599" t="s">
        <v>387</v>
      </c>
      <c r="H78" s="606" t="s">
        <v>380</v>
      </c>
      <c r="I78" s="599" t="s">
        <v>358</v>
      </c>
      <c r="J78" s="599"/>
      <c r="K78" s="599">
        <v>2</v>
      </c>
      <c r="L78" s="606">
        <v>4</v>
      </c>
      <c r="M78" s="599"/>
      <c r="N78" s="599"/>
      <c r="O78" s="599" t="s">
        <v>359</v>
      </c>
      <c r="P78" s="599" t="s">
        <v>360</v>
      </c>
      <c r="Q78" s="606" t="s">
        <v>361</v>
      </c>
      <c r="R78" s="599" t="s">
        <v>362</v>
      </c>
      <c r="S78" s="599">
        <v>2</v>
      </c>
      <c r="T78" s="599" t="s">
        <v>391</v>
      </c>
      <c r="U78" s="599" t="s">
        <v>392</v>
      </c>
      <c r="V78" s="599" t="s">
        <v>359</v>
      </c>
      <c r="W78" s="599" t="s">
        <v>360</v>
      </c>
      <c r="X78" s="601" t="s">
        <v>369</v>
      </c>
      <c r="Y78" s="599">
        <v>1</v>
      </c>
      <c r="Z78" s="599">
        <v>1</v>
      </c>
      <c r="AA78" s="600"/>
      <c r="AB78" s="599"/>
      <c r="AC78" s="599"/>
      <c r="AD78" s="599"/>
      <c r="AE78" s="601" t="s">
        <v>370</v>
      </c>
      <c r="AF78" s="602" t="s">
        <v>105</v>
      </c>
      <c r="AG78" s="597">
        <v>64</v>
      </c>
      <c r="AH78" s="597">
        <v>28</v>
      </c>
      <c r="AI78" s="604">
        <v>1800</v>
      </c>
      <c r="AJ78" s="604">
        <v>129.6</v>
      </c>
      <c r="AK78" s="604">
        <v>1440</v>
      </c>
      <c r="AL78" s="604">
        <v>20.16</v>
      </c>
    </row>
    <row r="79" spans="1:38" x14ac:dyDescent="0.2">
      <c r="A79" s="593" t="s">
        <v>481</v>
      </c>
      <c r="B79" s="593">
        <v>13</v>
      </c>
      <c r="C79" s="593">
        <v>13</v>
      </c>
      <c r="D79" s="593" t="s">
        <v>400</v>
      </c>
      <c r="E79" s="593" t="s">
        <v>406</v>
      </c>
      <c r="F79" s="593"/>
      <c r="G79" s="593" t="s">
        <v>407</v>
      </c>
      <c r="H79" s="606" t="s">
        <v>380</v>
      </c>
      <c r="I79" s="593" t="s">
        <v>358</v>
      </c>
      <c r="J79" s="593"/>
      <c r="K79" s="593">
        <v>17</v>
      </c>
      <c r="L79" s="606">
        <v>34</v>
      </c>
      <c r="M79" s="593"/>
      <c r="N79" s="593"/>
      <c r="O79" s="593" t="s">
        <v>359</v>
      </c>
      <c r="P79" s="593" t="s">
        <v>360</v>
      </c>
      <c r="Q79" s="606" t="s">
        <v>361</v>
      </c>
      <c r="R79" s="593" t="s">
        <v>362</v>
      </c>
      <c r="S79" s="593">
        <v>17</v>
      </c>
      <c r="T79" s="593" t="s">
        <v>408</v>
      </c>
      <c r="U79" s="593" t="s">
        <v>409</v>
      </c>
      <c r="V79" s="593" t="s">
        <v>359</v>
      </c>
      <c r="W79" s="593" t="s">
        <v>360</v>
      </c>
      <c r="X79" s="595" t="s">
        <v>364</v>
      </c>
      <c r="Y79" s="593">
        <v>1</v>
      </c>
      <c r="Z79" s="593">
        <v>1</v>
      </c>
      <c r="AA79" s="594"/>
      <c r="AB79" s="593"/>
      <c r="AC79" s="593"/>
      <c r="AD79" s="593"/>
      <c r="AE79" s="595" t="s">
        <v>370</v>
      </c>
      <c r="AF79" s="596" t="s">
        <v>105</v>
      </c>
      <c r="AG79" s="597">
        <v>64</v>
      </c>
      <c r="AH79" s="597">
        <v>28</v>
      </c>
      <c r="AI79" s="598">
        <v>3650</v>
      </c>
      <c r="AJ79" s="598">
        <v>2233.8000000000002</v>
      </c>
      <c r="AK79" s="598">
        <v>2920</v>
      </c>
      <c r="AL79" s="598">
        <v>347.48</v>
      </c>
    </row>
    <row r="80" spans="1:38" x14ac:dyDescent="0.2">
      <c r="A80" s="599" t="s">
        <v>481</v>
      </c>
      <c r="B80" s="599">
        <v>14</v>
      </c>
      <c r="C80" s="599">
        <v>14</v>
      </c>
      <c r="D80" s="599" t="s">
        <v>400</v>
      </c>
      <c r="E80" s="599" t="s">
        <v>410</v>
      </c>
      <c r="F80" s="599"/>
      <c r="G80" s="599" t="s">
        <v>407</v>
      </c>
      <c r="H80" s="606" t="s">
        <v>380</v>
      </c>
      <c r="I80" s="599" t="s">
        <v>358</v>
      </c>
      <c r="J80" s="599"/>
      <c r="K80" s="599">
        <v>19</v>
      </c>
      <c r="L80" s="606">
        <v>38</v>
      </c>
      <c r="M80" s="599"/>
      <c r="N80" s="599"/>
      <c r="O80" s="599" t="s">
        <v>359</v>
      </c>
      <c r="P80" s="599" t="s">
        <v>360</v>
      </c>
      <c r="Q80" s="606" t="s">
        <v>361</v>
      </c>
      <c r="R80" s="599" t="s">
        <v>362</v>
      </c>
      <c r="S80" s="599">
        <v>19</v>
      </c>
      <c r="T80" s="599" t="s">
        <v>411</v>
      </c>
      <c r="U80" s="599" t="s">
        <v>412</v>
      </c>
      <c r="V80" s="599" t="s">
        <v>359</v>
      </c>
      <c r="W80" s="599" t="s">
        <v>360</v>
      </c>
      <c r="X80" s="601" t="s">
        <v>364</v>
      </c>
      <c r="Y80" s="599">
        <v>1</v>
      </c>
      <c r="Z80" s="599">
        <v>2</v>
      </c>
      <c r="AA80" s="600"/>
      <c r="AB80" s="599"/>
      <c r="AC80" s="599"/>
      <c r="AD80" s="599"/>
      <c r="AE80" s="601" t="s">
        <v>370</v>
      </c>
      <c r="AF80" s="602" t="s">
        <v>105</v>
      </c>
      <c r="AG80" s="597">
        <v>64</v>
      </c>
      <c r="AH80" s="597">
        <v>28</v>
      </c>
      <c r="AI80" s="604">
        <v>3650</v>
      </c>
      <c r="AJ80" s="604">
        <v>2496.6</v>
      </c>
      <c r="AK80" s="604">
        <v>2920</v>
      </c>
      <c r="AL80" s="604">
        <v>388.36</v>
      </c>
    </row>
    <row r="81" spans="1:38" x14ac:dyDescent="0.2">
      <c r="A81" s="599" t="s">
        <v>481</v>
      </c>
      <c r="B81" s="599">
        <v>16</v>
      </c>
      <c r="C81" s="599">
        <v>16</v>
      </c>
      <c r="D81" s="599" t="s">
        <v>400</v>
      </c>
      <c r="E81" s="599" t="s">
        <v>413</v>
      </c>
      <c r="F81" s="599"/>
      <c r="G81" s="599" t="s">
        <v>407</v>
      </c>
      <c r="H81" s="606" t="s">
        <v>380</v>
      </c>
      <c r="I81" s="599" t="s">
        <v>358</v>
      </c>
      <c r="J81" s="599"/>
      <c r="K81" s="599">
        <v>16</v>
      </c>
      <c r="L81" s="606">
        <v>32</v>
      </c>
      <c r="M81" s="599"/>
      <c r="N81" s="599"/>
      <c r="O81" s="599" t="s">
        <v>359</v>
      </c>
      <c r="P81" s="599" t="s">
        <v>360</v>
      </c>
      <c r="Q81" s="606" t="s">
        <v>361</v>
      </c>
      <c r="R81" s="599" t="s">
        <v>362</v>
      </c>
      <c r="S81" s="599">
        <v>16</v>
      </c>
      <c r="T81" s="599" t="s">
        <v>414</v>
      </c>
      <c r="U81" s="599" t="s">
        <v>415</v>
      </c>
      <c r="V81" s="599" t="s">
        <v>359</v>
      </c>
      <c r="W81" s="599" t="s">
        <v>360</v>
      </c>
      <c r="X81" s="601" t="s">
        <v>364</v>
      </c>
      <c r="Y81" s="599">
        <v>1</v>
      </c>
      <c r="Z81" s="599">
        <v>1</v>
      </c>
      <c r="AA81" s="600"/>
      <c r="AB81" s="599"/>
      <c r="AC81" s="599"/>
      <c r="AD81" s="599"/>
      <c r="AE81" s="601" t="s">
        <v>370</v>
      </c>
      <c r="AF81" s="602" t="s">
        <v>105</v>
      </c>
      <c r="AG81" s="597">
        <v>64</v>
      </c>
      <c r="AH81" s="597">
        <v>28</v>
      </c>
      <c r="AI81" s="604">
        <v>3650</v>
      </c>
      <c r="AJ81" s="604">
        <v>2102.4</v>
      </c>
      <c r="AK81" s="604">
        <v>2920</v>
      </c>
      <c r="AL81" s="604">
        <v>327.04000000000002</v>
      </c>
    </row>
    <row r="82" spans="1:38" x14ac:dyDescent="0.2">
      <c r="A82" s="599" t="s">
        <v>481</v>
      </c>
      <c r="B82" s="599">
        <v>18</v>
      </c>
      <c r="C82" s="599">
        <v>18</v>
      </c>
      <c r="D82" s="599" t="s">
        <v>400</v>
      </c>
      <c r="E82" s="599" t="s">
        <v>416</v>
      </c>
      <c r="F82" s="599"/>
      <c r="G82" s="599" t="s">
        <v>407</v>
      </c>
      <c r="H82" s="606" t="s">
        <v>380</v>
      </c>
      <c r="I82" s="599" t="s">
        <v>358</v>
      </c>
      <c r="J82" s="599"/>
      <c r="K82" s="599">
        <v>17</v>
      </c>
      <c r="L82" s="606">
        <v>34</v>
      </c>
      <c r="M82" s="599"/>
      <c r="N82" s="599"/>
      <c r="O82" s="599" t="s">
        <v>359</v>
      </c>
      <c r="P82" s="599" t="s">
        <v>360</v>
      </c>
      <c r="Q82" s="606" t="s">
        <v>361</v>
      </c>
      <c r="R82" s="599" t="s">
        <v>362</v>
      </c>
      <c r="S82" s="599">
        <v>17</v>
      </c>
      <c r="T82" s="599" t="s">
        <v>408</v>
      </c>
      <c r="U82" s="599" t="s">
        <v>409</v>
      </c>
      <c r="V82" s="599" t="s">
        <v>359</v>
      </c>
      <c r="W82" s="599" t="s">
        <v>360</v>
      </c>
      <c r="X82" s="601" t="s">
        <v>364</v>
      </c>
      <c r="Y82" s="599">
        <v>1</v>
      </c>
      <c r="Z82" s="599">
        <v>1</v>
      </c>
      <c r="AA82" s="600"/>
      <c r="AB82" s="599"/>
      <c r="AC82" s="599"/>
      <c r="AD82" s="599"/>
      <c r="AE82" s="601" t="s">
        <v>370</v>
      </c>
      <c r="AF82" s="602" t="s">
        <v>105</v>
      </c>
      <c r="AG82" s="597">
        <v>64</v>
      </c>
      <c r="AH82" s="597">
        <v>28</v>
      </c>
      <c r="AI82" s="604">
        <v>3650</v>
      </c>
      <c r="AJ82" s="604">
        <v>2233.8000000000002</v>
      </c>
      <c r="AK82" s="604">
        <v>2920</v>
      </c>
      <c r="AL82" s="604">
        <v>347.48</v>
      </c>
    </row>
    <row r="83" spans="1:38" x14ac:dyDescent="0.2">
      <c r="A83" s="593" t="s">
        <v>481</v>
      </c>
      <c r="B83" s="593">
        <v>19</v>
      </c>
      <c r="C83" s="593">
        <v>19</v>
      </c>
      <c r="D83" s="593" t="s">
        <v>400</v>
      </c>
      <c r="E83" s="593" t="s">
        <v>373</v>
      </c>
      <c r="F83" s="593"/>
      <c r="G83" s="593" t="s">
        <v>373</v>
      </c>
      <c r="H83" s="606" t="s">
        <v>380</v>
      </c>
      <c r="I83" s="593" t="s">
        <v>374</v>
      </c>
      <c r="J83" s="593"/>
      <c r="K83" s="593">
        <v>2</v>
      </c>
      <c r="L83" s="606">
        <v>4</v>
      </c>
      <c r="M83" s="593"/>
      <c r="N83" s="593"/>
      <c r="O83" s="593" t="s">
        <v>359</v>
      </c>
      <c r="P83" s="593" t="s">
        <v>360</v>
      </c>
      <c r="Q83" s="606" t="s">
        <v>361</v>
      </c>
      <c r="R83" s="593" t="s">
        <v>362</v>
      </c>
      <c r="S83" s="593">
        <v>2</v>
      </c>
      <c r="T83" s="593" t="s">
        <v>391</v>
      </c>
      <c r="U83" s="593" t="s">
        <v>392</v>
      </c>
      <c r="V83" s="593" t="s">
        <v>359</v>
      </c>
      <c r="W83" s="593" t="s">
        <v>360</v>
      </c>
      <c r="X83" s="595" t="s">
        <v>369</v>
      </c>
      <c r="Y83" s="593">
        <v>1</v>
      </c>
      <c r="Z83" s="593">
        <v>1</v>
      </c>
      <c r="AA83" s="594"/>
      <c r="AB83" s="593"/>
      <c r="AC83" s="593"/>
      <c r="AD83" s="593"/>
      <c r="AE83" s="595" t="s">
        <v>370</v>
      </c>
      <c r="AF83" s="596" t="s">
        <v>105</v>
      </c>
      <c r="AG83" s="597">
        <v>64</v>
      </c>
      <c r="AH83" s="597">
        <v>28</v>
      </c>
      <c r="AI83" s="598">
        <v>360</v>
      </c>
      <c r="AJ83" s="598">
        <v>25.92</v>
      </c>
      <c r="AK83" s="598">
        <v>288</v>
      </c>
      <c r="AL83" s="598">
        <v>4.032</v>
      </c>
    </row>
    <row r="84" spans="1:38" x14ac:dyDescent="0.2">
      <c r="A84" s="599" t="s">
        <v>481</v>
      </c>
      <c r="B84" s="599">
        <v>20</v>
      </c>
      <c r="C84" s="599">
        <v>20</v>
      </c>
      <c r="D84" s="599" t="s">
        <v>400</v>
      </c>
      <c r="E84" s="599" t="s">
        <v>398</v>
      </c>
      <c r="F84" s="599"/>
      <c r="G84" s="599" t="s">
        <v>367</v>
      </c>
      <c r="H84" s="606" t="s">
        <v>380</v>
      </c>
      <c r="I84" s="599" t="s">
        <v>368</v>
      </c>
      <c r="J84" s="599"/>
      <c r="K84" s="599">
        <v>3</v>
      </c>
      <c r="L84" s="606">
        <v>6</v>
      </c>
      <c r="M84" s="599"/>
      <c r="N84" s="599"/>
      <c r="O84" s="599" t="s">
        <v>359</v>
      </c>
      <c r="P84" s="599" t="s">
        <v>360</v>
      </c>
      <c r="Q84" s="606" t="s">
        <v>361</v>
      </c>
      <c r="R84" s="599" t="s">
        <v>362</v>
      </c>
      <c r="S84" s="599">
        <v>3</v>
      </c>
      <c r="T84" s="599" t="s">
        <v>388</v>
      </c>
      <c r="U84" s="599" t="s">
        <v>389</v>
      </c>
      <c r="V84" s="599" t="s">
        <v>359</v>
      </c>
      <c r="W84" s="599" t="s">
        <v>360</v>
      </c>
      <c r="X84" s="601" t="s">
        <v>369</v>
      </c>
      <c r="Y84" s="599">
        <v>1</v>
      </c>
      <c r="Z84" s="599">
        <v>1</v>
      </c>
      <c r="AA84" s="600"/>
      <c r="AB84" s="599"/>
      <c r="AC84" s="599"/>
      <c r="AD84" s="599"/>
      <c r="AE84" s="601" t="s">
        <v>370</v>
      </c>
      <c r="AF84" s="602" t="s">
        <v>105</v>
      </c>
      <c r="AG84" s="597">
        <v>64</v>
      </c>
      <c r="AH84" s="597">
        <v>28</v>
      </c>
      <c r="AI84" s="604">
        <v>2160</v>
      </c>
      <c r="AJ84" s="604">
        <v>233.28</v>
      </c>
      <c r="AK84" s="604">
        <v>1728</v>
      </c>
      <c r="AL84" s="604">
        <v>36.287999999999997</v>
      </c>
    </row>
    <row r="85" spans="1:38" x14ac:dyDescent="0.2">
      <c r="A85" s="593" t="s">
        <v>481</v>
      </c>
      <c r="B85" s="593">
        <v>21</v>
      </c>
      <c r="C85" s="593">
        <v>21</v>
      </c>
      <c r="D85" s="593" t="s">
        <v>400</v>
      </c>
      <c r="E85" s="593" t="s">
        <v>399</v>
      </c>
      <c r="F85" s="593"/>
      <c r="G85" s="593" t="s">
        <v>367</v>
      </c>
      <c r="H85" s="606" t="s">
        <v>380</v>
      </c>
      <c r="I85" s="593" t="s">
        <v>368</v>
      </c>
      <c r="J85" s="593"/>
      <c r="K85" s="593">
        <v>3</v>
      </c>
      <c r="L85" s="606">
        <v>6</v>
      </c>
      <c r="M85" s="593"/>
      <c r="N85" s="593"/>
      <c r="O85" s="593" t="s">
        <v>359</v>
      </c>
      <c r="P85" s="593" t="s">
        <v>360</v>
      </c>
      <c r="Q85" s="606" t="s">
        <v>361</v>
      </c>
      <c r="R85" s="593" t="s">
        <v>362</v>
      </c>
      <c r="S85" s="593">
        <v>3</v>
      </c>
      <c r="T85" s="593" t="s">
        <v>388</v>
      </c>
      <c r="U85" s="593" t="s">
        <v>389</v>
      </c>
      <c r="V85" s="593" t="s">
        <v>359</v>
      </c>
      <c r="W85" s="593" t="s">
        <v>360</v>
      </c>
      <c r="X85" s="595" t="s">
        <v>369</v>
      </c>
      <c r="Y85" s="593">
        <v>1</v>
      </c>
      <c r="Z85" s="593">
        <v>1</v>
      </c>
      <c r="AA85" s="594"/>
      <c r="AB85" s="593"/>
      <c r="AC85" s="593"/>
      <c r="AD85" s="593"/>
      <c r="AE85" s="595" t="s">
        <v>370</v>
      </c>
      <c r="AF85" s="596" t="s">
        <v>105</v>
      </c>
      <c r="AG85" s="597">
        <v>64</v>
      </c>
      <c r="AH85" s="597">
        <v>28</v>
      </c>
      <c r="AI85" s="598">
        <v>2160</v>
      </c>
      <c r="AJ85" s="598">
        <v>233.28</v>
      </c>
      <c r="AK85" s="598">
        <v>1728</v>
      </c>
      <c r="AL85" s="598">
        <v>36.287999999999997</v>
      </c>
    </row>
    <row r="86" spans="1:38" x14ac:dyDescent="0.2">
      <c r="A86" s="599" t="s">
        <v>481</v>
      </c>
      <c r="B86" s="599">
        <v>22</v>
      </c>
      <c r="C86" s="599">
        <v>22</v>
      </c>
      <c r="D86" s="599" t="s">
        <v>400</v>
      </c>
      <c r="E86" s="599" t="s">
        <v>398</v>
      </c>
      <c r="F86" s="599"/>
      <c r="G86" s="599" t="s">
        <v>367</v>
      </c>
      <c r="H86" s="606" t="s">
        <v>380</v>
      </c>
      <c r="I86" s="599" t="s">
        <v>368</v>
      </c>
      <c r="J86" s="599"/>
      <c r="K86" s="599">
        <v>3</v>
      </c>
      <c r="L86" s="606">
        <v>6</v>
      </c>
      <c r="M86" s="599"/>
      <c r="N86" s="599"/>
      <c r="O86" s="599" t="s">
        <v>359</v>
      </c>
      <c r="P86" s="599" t="s">
        <v>360</v>
      </c>
      <c r="Q86" s="606" t="s">
        <v>361</v>
      </c>
      <c r="R86" s="599" t="s">
        <v>362</v>
      </c>
      <c r="S86" s="599">
        <v>3</v>
      </c>
      <c r="T86" s="599" t="s">
        <v>388</v>
      </c>
      <c r="U86" s="599" t="s">
        <v>389</v>
      </c>
      <c r="V86" s="599" t="s">
        <v>359</v>
      </c>
      <c r="W86" s="599" t="s">
        <v>360</v>
      </c>
      <c r="X86" s="601" t="s">
        <v>369</v>
      </c>
      <c r="Y86" s="599">
        <v>1</v>
      </c>
      <c r="Z86" s="599">
        <v>1</v>
      </c>
      <c r="AA86" s="600"/>
      <c r="AB86" s="599"/>
      <c r="AC86" s="599"/>
      <c r="AD86" s="599"/>
      <c r="AE86" s="601" t="s">
        <v>370</v>
      </c>
      <c r="AF86" s="602" t="s">
        <v>105</v>
      </c>
      <c r="AG86" s="597">
        <v>64</v>
      </c>
      <c r="AH86" s="597">
        <v>28</v>
      </c>
      <c r="AI86" s="604">
        <v>2160</v>
      </c>
      <c r="AJ86" s="604">
        <v>233.28</v>
      </c>
      <c r="AK86" s="604">
        <v>1728</v>
      </c>
      <c r="AL86" s="604">
        <v>36.287999999999997</v>
      </c>
    </row>
    <row r="87" spans="1:38" x14ac:dyDescent="0.2">
      <c r="A87" s="593" t="s">
        <v>481</v>
      </c>
      <c r="B87" s="593">
        <v>23</v>
      </c>
      <c r="C87" s="593">
        <v>23</v>
      </c>
      <c r="D87" s="593" t="s">
        <v>400</v>
      </c>
      <c r="E87" s="593" t="s">
        <v>399</v>
      </c>
      <c r="F87" s="593"/>
      <c r="G87" s="593" t="s">
        <v>367</v>
      </c>
      <c r="H87" s="606" t="s">
        <v>380</v>
      </c>
      <c r="I87" s="593" t="s">
        <v>368</v>
      </c>
      <c r="J87" s="593"/>
      <c r="K87" s="593">
        <v>3</v>
      </c>
      <c r="L87" s="606">
        <v>6</v>
      </c>
      <c r="M87" s="593"/>
      <c r="N87" s="593"/>
      <c r="O87" s="593" t="s">
        <v>359</v>
      </c>
      <c r="P87" s="593" t="s">
        <v>360</v>
      </c>
      <c r="Q87" s="606" t="s">
        <v>361</v>
      </c>
      <c r="R87" s="593" t="s">
        <v>362</v>
      </c>
      <c r="S87" s="593">
        <v>3</v>
      </c>
      <c r="T87" s="593" t="s">
        <v>388</v>
      </c>
      <c r="U87" s="593" t="s">
        <v>389</v>
      </c>
      <c r="V87" s="593" t="s">
        <v>359</v>
      </c>
      <c r="W87" s="593" t="s">
        <v>360</v>
      </c>
      <c r="X87" s="595" t="s">
        <v>369</v>
      </c>
      <c r="Y87" s="593">
        <v>1</v>
      </c>
      <c r="Z87" s="593">
        <v>1</v>
      </c>
      <c r="AA87" s="594"/>
      <c r="AB87" s="593"/>
      <c r="AC87" s="593"/>
      <c r="AD87" s="593"/>
      <c r="AE87" s="595" t="s">
        <v>370</v>
      </c>
      <c r="AF87" s="596" t="s">
        <v>105</v>
      </c>
      <c r="AG87" s="597">
        <v>64</v>
      </c>
      <c r="AH87" s="597">
        <v>28</v>
      </c>
      <c r="AI87" s="598">
        <v>2160</v>
      </c>
      <c r="AJ87" s="598">
        <v>233.28</v>
      </c>
      <c r="AK87" s="598">
        <v>1728</v>
      </c>
      <c r="AL87" s="598">
        <v>36.287999999999997</v>
      </c>
    </row>
    <row r="88" spans="1:38" x14ac:dyDescent="0.2">
      <c r="A88" s="593" t="s">
        <v>481</v>
      </c>
      <c r="B88" s="593">
        <v>27</v>
      </c>
      <c r="C88" s="593">
        <v>27</v>
      </c>
      <c r="D88" s="593" t="s">
        <v>400</v>
      </c>
      <c r="E88" s="593" t="s">
        <v>405</v>
      </c>
      <c r="F88" s="593"/>
      <c r="G88" s="593" t="s">
        <v>387</v>
      </c>
      <c r="H88" s="606" t="s">
        <v>380</v>
      </c>
      <c r="I88" s="593" t="s">
        <v>358</v>
      </c>
      <c r="J88" s="593"/>
      <c r="K88" s="593">
        <v>2</v>
      </c>
      <c r="L88" s="606">
        <v>4</v>
      </c>
      <c r="M88" s="593"/>
      <c r="N88" s="593"/>
      <c r="O88" s="593" t="s">
        <v>359</v>
      </c>
      <c r="P88" s="593" t="s">
        <v>360</v>
      </c>
      <c r="Q88" s="606" t="s">
        <v>361</v>
      </c>
      <c r="R88" s="593" t="s">
        <v>362</v>
      </c>
      <c r="S88" s="593">
        <v>2</v>
      </c>
      <c r="T88" s="593" t="s">
        <v>391</v>
      </c>
      <c r="U88" s="593" t="s">
        <v>392</v>
      </c>
      <c r="V88" s="593" t="s">
        <v>359</v>
      </c>
      <c r="W88" s="593" t="s">
        <v>360</v>
      </c>
      <c r="X88" s="595" t="s">
        <v>369</v>
      </c>
      <c r="Y88" s="593">
        <v>1</v>
      </c>
      <c r="Z88" s="593">
        <v>1</v>
      </c>
      <c r="AA88" s="594"/>
      <c r="AB88" s="593"/>
      <c r="AC88" s="593"/>
      <c r="AD88" s="593"/>
      <c r="AE88" s="595" t="s">
        <v>370</v>
      </c>
      <c r="AF88" s="596" t="s">
        <v>105</v>
      </c>
      <c r="AG88" s="597">
        <v>64</v>
      </c>
      <c r="AH88" s="597">
        <v>28</v>
      </c>
      <c r="AI88" s="598">
        <v>1800</v>
      </c>
      <c r="AJ88" s="598">
        <v>129.6</v>
      </c>
      <c r="AK88" s="598">
        <v>1440</v>
      </c>
      <c r="AL88" s="598">
        <v>20.16</v>
      </c>
    </row>
    <row r="89" spans="1:38" x14ac:dyDescent="0.2">
      <c r="A89" s="599" t="s">
        <v>481</v>
      </c>
      <c r="B89" s="599">
        <v>28</v>
      </c>
      <c r="C89" s="599">
        <v>28</v>
      </c>
      <c r="D89" s="599" t="s">
        <v>400</v>
      </c>
      <c r="E89" s="599" t="s">
        <v>417</v>
      </c>
      <c r="F89" s="599"/>
      <c r="G89" s="599" t="s">
        <v>407</v>
      </c>
      <c r="H89" s="606" t="s">
        <v>380</v>
      </c>
      <c r="I89" s="599" t="s">
        <v>358</v>
      </c>
      <c r="J89" s="599"/>
      <c r="K89" s="599">
        <v>17</v>
      </c>
      <c r="L89" s="606">
        <v>34</v>
      </c>
      <c r="M89" s="599"/>
      <c r="N89" s="599"/>
      <c r="O89" s="599" t="s">
        <v>359</v>
      </c>
      <c r="P89" s="599" t="s">
        <v>360</v>
      </c>
      <c r="Q89" s="606" t="s">
        <v>361</v>
      </c>
      <c r="R89" s="599" t="s">
        <v>362</v>
      </c>
      <c r="S89" s="599">
        <v>17</v>
      </c>
      <c r="T89" s="599" t="s">
        <v>408</v>
      </c>
      <c r="U89" s="599" t="s">
        <v>409</v>
      </c>
      <c r="V89" s="599" t="s">
        <v>359</v>
      </c>
      <c r="W89" s="599" t="s">
        <v>360</v>
      </c>
      <c r="X89" s="601" t="s">
        <v>364</v>
      </c>
      <c r="Y89" s="599">
        <v>1</v>
      </c>
      <c r="Z89" s="599">
        <v>1</v>
      </c>
      <c r="AA89" s="600"/>
      <c r="AB89" s="599"/>
      <c r="AC89" s="599"/>
      <c r="AD89" s="599"/>
      <c r="AE89" s="601" t="s">
        <v>370</v>
      </c>
      <c r="AF89" s="602" t="s">
        <v>105</v>
      </c>
      <c r="AG89" s="597">
        <v>64</v>
      </c>
      <c r="AH89" s="597">
        <v>28</v>
      </c>
      <c r="AI89" s="604">
        <v>3650</v>
      </c>
      <c r="AJ89" s="604">
        <v>2233.8000000000002</v>
      </c>
      <c r="AK89" s="604">
        <v>2920</v>
      </c>
      <c r="AL89" s="604">
        <v>347.48</v>
      </c>
    </row>
    <row r="90" spans="1:38" x14ac:dyDescent="0.2">
      <c r="A90" s="593" t="s">
        <v>481</v>
      </c>
      <c r="B90" s="593">
        <v>29</v>
      </c>
      <c r="C90" s="593">
        <v>29</v>
      </c>
      <c r="D90" s="593" t="s">
        <v>400</v>
      </c>
      <c r="E90" s="593" t="s">
        <v>418</v>
      </c>
      <c r="F90" s="593"/>
      <c r="G90" s="593" t="s">
        <v>407</v>
      </c>
      <c r="H90" s="606" t="s">
        <v>380</v>
      </c>
      <c r="I90" s="593" t="s">
        <v>358</v>
      </c>
      <c r="J90" s="593"/>
      <c r="K90" s="593">
        <v>16</v>
      </c>
      <c r="L90" s="606">
        <v>32</v>
      </c>
      <c r="M90" s="593"/>
      <c r="N90" s="593"/>
      <c r="O90" s="593" t="s">
        <v>359</v>
      </c>
      <c r="P90" s="593" t="s">
        <v>360</v>
      </c>
      <c r="Q90" s="606" t="s">
        <v>361</v>
      </c>
      <c r="R90" s="593" t="s">
        <v>362</v>
      </c>
      <c r="S90" s="593">
        <v>16</v>
      </c>
      <c r="T90" s="593" t="s">
        <v>414</v>
      </c>
      <c r="U90" s="593" t="s">
        <v>415</v>
      </c>
      <c r="V90" s="593" t="s">
        <v>359</v>
      </c>
      <c r="W90" s="593" t="s">
        <v>360</v>
      </c>
      <c r="X90" s="595" t="s">
        <v>364</v>
      </c>
      <c r="Y90" s="593">
        <v>1</v>
      </c>
      <c r="Z90" s="593">
        <v>1</v>
      </c>
      <c r="AA90" s="594"/>
      <c r="AB90" s="593"/>
      <c r="AC90" s="593"/>
      <c r="AD90" s="593"/>
      <c r="AE90" s="595" t="s">
        <v>419</v>
      </c>
      <c r="AF90" s="596" t="s">
        <v>105</v>
      </c>
      <c r="AG90" s="597">
        <v>64</v>
      </c>
      <c r="AH90" s="597">
        <v>28</v>
      </c>
      <c r="AI90" s="598">
        <v>3650</v>
      </c>
      <c r="AJ90" s="598">
        <v>2102.4</v>
      </c>
      <c r="AK90" s="598">
        <v>2920</v>
      </c>
      <c r="AL90" s="598">
        <v>327.04000000000002</v>
      </c>
    </row>
    <row r="91" spans="1:38" x14ac:dyDescent="0.2">
      <c r="A91" s="593" t="s">
        <v>481</v>
      </c>
      <c r="B91" s="593">
        <v>31</v>
      </c>
      <c r="C91" s="593">
        <v>31</v>
      </c>
      <c r="D91" s="593" t="s">
        <v>400</v>
      </c>
      <c r="E91" s="593" t="s">
        <v>420</v>
      </c>
      <c r="F91" s="593"/>
      <c r="G91" s="593" t="s">
        <v>407</v>
      </c>
      <c r="H91" s="606" t="s">
        <v>380</v>
      </c>
      <c r="I91" s="593" t="s">
        <v>358</v>
      </c>
      <c r="J91" s="593"/>
      <c r="K91" s="593">
        <v>16</v>
      </c>
      <c r="L91" s="606">
        <v>32</v>
      </c>
      <c r="M91" s="593"/>
      <c r="N91" s="593"/>
      <c r="O91" s="593" t="s">
        <v>359</v>
      </c>
      <c r="P91" s="593" t="s">
        <v>360</v>
      </c>
      <c r="Q91" s="606" t="s">
        <v>361</v>
      </c>
      <c r="R91" s="593" t="s">
        <v>362</v>
      </c>
      <c r="S91" s="593">
        <v>16</v>
      </c>
      <c r="T91" s="593" t="s">
        <v>414</v>
      </c>
      <c r="U91" s="593" t="s">
        <v>415</v>
      </c>
      <c r="V91" s="593" t="s">
        <v>359</v>
      </c>
      <c r="W91" s="593" t="s">
        <v>360</v>
      </c>
      <c r="X91" s="595" t="s">
        <v>364</v>
      </c>
      <c r="Y91" s="593">
        <v>1</v>
      </c>
      <c r="Z91" s="593">
        <v>1</v>
      </c>
      <c r="AA91" s="594"/>
      <c r="AB91" s="593"/>
      <c r="AC91" s="593"/>
      <c r="AD91" s="593"/>
      <c r="AE91" s="595" t="s">
        <v>419</v>
      </c>
      <c r="AF91" s="596" t="s">
        <v>105</v>
      </c>
      <c r="AG91" s="597">
        <v>64</v>
      </c>
      <c r="AH91" s="597">
        <v>28</v>
      </c>
      <c r="AI91" s="598">
        <v>3650</v>
      </c>
      <c r="AJ91" s="598">
        <v>2102.4</v>
      </c>
      <c r="AK91" s="598">
        <v>2920</v>
      </c>
      <c r="AL91" s="598">
        <v>327.04000000000002</v>
      </c>
    </row>
    <row r="92" spans="1:38" x14ac:dyDescent="0.2">
      <c r="A92" s="593" t="s">
        <v>481</v>
      </c>
      <c r="B92" s="593">
        <v>33</v>
      </c>
      <c r="C92" s="593">
        <v>33</v>
      </c>
      <c r="D92" s="593" t="s">
        <v>400</v>
      </c>
      <c r="E92" s="593" t="s">
        <v>421</v>
      </c>
      <c r="F92" s="593"/>
      <c r="G92" s="593" t="s">
        <v>407</v>
      </c>
      <c r="H92" s="606" t="s">
        <v>380</v>
      </c>
      <c r="I92" s="593" t="s">
        <v>358</v>
      </c>
      <c r="J92" s="593"/>
      <c r="K92" s="593">
        <v>17</v>
      </c>
      <c r="L92" s="606">
        <v>34</v>
      </c>
      <c r="M92" s="593"/>
      <c r="N92" s="593"/>
      <c r="O92" s="593" t="s">
        <v>359</v>
      </c>
      <c r="P92" s="593" t="s">
        <v>360</v>
      </c>
      <c r="Q92" s="606" t="s">
        <v>361</v>
      </c>
      <c r="R92" s="593" t="s">
        <v>362</v>
      </c>
      <c r="S92" s="593">
        <v>17</v>
      </c>
      <c r="T92" s="593" t="s">
        <v>408</v>
      </c>
      <c r="U92" s="593" t="s">
        <v>409</v>
      </c>
      <c r="V92" s="593" t="s">
        <v>359</v>
      </c>
      <c r="W92" s="593" t="s">
        <v>360</v>
      </c>
      <c r="X92" s="595" t="s">
        <v>364</v>
      </c>
      <c r="Y92" s="593">
        <v>1</v>
      </c>
      <c r="Z92" s="593">
        <v>1</v>
      </c>
      <c r="AA92" s="594"/>
      <c r="AB92" s="593"/>
      <c r="AC92" s="593"/>
      <c r="AD92" s="593"/>
      <c r="AE92" s="595" t="s">
        <v>419</v>
      </c>
      <c r="AF92" s="596" t="s">
        <v>105</v>
      </c>
      <c r="AG92" s="597">
        <v>64</v>
      </c>
      <c r="AH92" s="597">
        <v>28</v>
      </c>
      <c r="AI92" s="598">
        <v>3650</v>
      </c>
      <c r="AJ92" s="598">
        <v>2233.8000000000002</v>
      </c>
      <c r="AK92" s="598">
        <v>2920</v>
      </c>
      <c r="AL92" s="598">
        <v>347.48</v>
      </c>
    </row>
    <row r="93" spans="1:38" x14ac:dyDescent="0.2">
      <c r="A93" s="599" t="s">
        <v>481</v>
      </c>
      <c r="B93" s="599">
        <v>34</v>
      </c>
      <c r="C93" s="599">
        <v>34</v>
      </c>
      <c r="D93" s="599" t="s">
        <v>400</v>
      </c>
      <c r="E93" s="599" t="s">
        <v>405</v>
      </c>
      <c r="F93" s="599"/>
      <c r="G93" s="599" t="s">
        <v>387</v>
      </c>
      <c r="H93" s="606" t="s">
        <v>380</v>
      </c>
      <c r="I93" s="599" t="s">
        <v>358</v>
      </c>
      <c r="J93" s="599"/>
      <c r="K93" s="599">
        <v>2</v>
      </c>
      <c r="L93" s="606">
        <v>4</v>
      </c>
      <c r="M93" s="599"/>
      <c r="N93" s="599"/>
      <c r="O93" s="599" t="s">
        <v>359</v>
      </c>
      <c r="P93" s="599" t="s">
        <v>360</v>
      </c>
      <c r="Q93" s="606" t="s">
        <v>361</v>
      </c>
      <c r="R93" s="599" t="s">
        <v>362</v>
      </c>
      <c r="S93" s="599">
        <v>2</v>
      </c>
      <c r="T93" s="599" t="s">
        <v>391</v>
      </c>
      <c r="U93" s="599" t="s">
        <v>392</v>
      </c>
      <c r="V93" s="599" t="s">
        <v>359</v>
      </c>
      <c r="W93" s="599" t="s">
        <v>360</v>
      </c>
      <c r="X93" s="601" t="s">
        <v>369</v>
      </c>
      <c r="Y93" s="599">
        <v>1</v>
      </c>
      <c r="Z93" s="599">
        <v>1</v>
      </c>
      <c r="AA93" s="600"/>
      <c r="AB93" s="599"/>
      <c r="AC93" s="599"/>
      <c r="AD93" s="599"/>
      <c r="AE93" s="601" t="s">
        <v>370</v>
      </c>
      <c r="AF93" s="602" t="s">
        <v>105</v>
      </c>
      <c r="AG93" s="597">
        <v>64</v>
      </c>
      <c r="AH93" s="597">
        <v>28</v>
      </c>
      <c r="AI93" s="604">
        <v>1800</v>
      </c>
      <c r="AJ93" s="604">
        <v>129.6</v>
      </c>
      <c r="AK93" s="604">
        <v>1440</v>
      </c>
      <c r="AL93" s="604">
        <v>20.16</v>
      </c>
    </row>
    <row r="94" spans="1:38" x14ac:dyDescent="0.2">
      <c r="A94" s="593" t="s">
        <v>481</v>
      </c>
      <c r="B94" s="593">
        <v>35</v>
      </c>
      <c r="C94" s="593">
        <v>35</v>
      </c>
      <c r="D94" s="593" t="s">
        <v>400</v>
      </c>
      <c r="E94" s="593" t="s">
        <v>422</v>
      </c>
      <c r="F94" s="593"/>
      <c r="G94" s="593" t="s">
        <v>407</v>
      </c>
      <c r="H94" s="606" t="s">
        <v>380</v>
      </c>
      <c r="I94" s="593" t="s">
        <v>358</v>
      </c>
      <c r="J94" s="593"/>
      <c r="K94" s="593">
        <v>16</v>
      </c>
      <c r="L94" s="606">
        <v>32</v>
      </c>
      <c r="M94" s="593"/>
      <c r="N94" s="593"/>
      <c r="O94" s="593" t="s">
        <v>359</v>
      </c>
      <c r="P94" s="593" t="s">
        <v>360</v>
      </c>
      <c r="Q94" s="606" t="s">
        <v>361</v>
      </c>
      <c r="R94" s="593" t="s">
        <v>362</v>
      </c>
      <c r="S94" s="593">
        <v>16</v>
      </c>
      <c r="T94" s="593" t="s">
        <v>414</v>
      </c>
      <c r="U94" s="593" t="s">
        <v>415</v>
      </c>
      <c r="V94" s="593" t="s">
        <v>359</v>
      </c>
      <c r="W94" s="593" t="s">
        <v>360</v>
      </c>
      <c r="X94" s="595" t="s">
        <v>364</v>
      </c>
      <c r="Y94" s="593">
        <v>1</v>
      </c>
      <c r="Z94" s="593">
        <v>1</v>
      </c>
      <c r="AA94" s="594"/>
      <c r="AB94" s="593"/>
      <c r="AC94" s="593"/>
      <c r="AD94" s="593"/>
      <c r="AE94" s="595" t="s">
        <v>419</v>
      </c>
      <c r="AF94" s="596" t="s">
        <v>105</v>
      </c>
      <c r="AG94" s="597">
        <v>64</v>
      </c>
      <c r="AH94" s="597">
        <v>28</v>
      </c>
      <c r="AI94" s="598">
        <v>3650</v>
      </c>
      <c r="AJ94" s="598">
        <v>2102.4</v>
      </c>
      <c r="AK94" s="598">
        <v>2920</v>
      </c>
      <c r="AL94" s="598">
        <v>327.04000000000002</v>
      </c>
    </row>
    <row r="95" spans="1:38" x14ac:dyDescent="0.2">
      <c r="A95" s="593" t="s">
        <v>481</v>
      </c>
      <c r="B95" s="593">
        <v>37</v>
      </c>
      <c r="C95" s="593">
        <v>37</v>
      </c>
      <c r="D95" s="593" t="s">
        <v>400</v>
      </c>
      <c r="E95" s="593" t="s">
        <v>423</v>
      </c>
      <c r="F95" s="593"/>
      <c r="G95" s="593" t="s">
        <v>407</v>
      </c>
      <c r="H95" s="606" t="s">
        <v>380</v>
      </c>
      <c r="I95" s="593" t="s">
        <v>358</v>
      </c>
      <c r="J95" s="593"/>
      <c r="K95" s="593">
        <v>10</v>
      </c>
      <c r="L95" s="606">
        <v>20</v>
      </c>
      <c r="M95" s="593"/>
      <c r="N95" s="593"/>
      <c r="O95" s="593" t="s">
        <v>359</v>
      </c>
      <c r="P95" s="593" t="s">
        <v>360</v>
      </c>
      <c r="Q95" s="606" t="s">
        <v>361</v>
      </c>
      <c r="R95" s="593" t="s">
        <v>362</v>
      </c>
      <c r="S95" s="593">
        <v>10</v>
      </c>
      <c r="T95" s="593" t="s">
        <v>424</v>
      </c>
      <c r="U95" s="593" t="s">
        <v>425</v>
      </c>
      <c r="V95" s="593" t="s">
        <v>359</v>
      </c>
      <c r="W95" s="593" t="s">
        <v>360</v>
      </c>
      <c r="X95" s="595" t="s">
        <v>364</v>
      </c>
      <c r="Y95" s="593">
        <v>1</v>
      </c>
      <c r="Z95" s="593">
        <v>2</v>
      </c>
      <c r="AA95" s="594"/>
      <c r="AB95" s="593"/>
      <c r="AC95" s="593"/>
      <c r="AD95" s="593"/>
      <c r="AE95" s="595" t="s">
        <v>419</v>
      </c>
      <c r="AF95" s="596" t="s">
        <v>105</v>
      </c>
      <c r="AG95" s="597">
        <v>64</v>
      </c>
      <c r="AH95" s="597">
        <v>28</v>
      </c>
      <c r="AI95" s="598">
        <v>3650</v>
      </c>
      <c r="AJ95" s="598">
        <v>1314</v>
      </c>
      <c r="AK95" s="598">
        <v>2920</v>
      </c>
      <c r="AL95" s="598">
        <v>204.4</v>
      </c>
    </row>
    <row r="96" spans="1:38" x14ac:dyDescent="0.2">
      <c r="A96" s="599" t="s">
        <v>481</v>
      </c>
      <c r="B96" s="599">
        <v>38</v>
      </c>
      <c r="C96" s="599">
        <v>38</v>
      </c>
      <c r="D96" s="599" t="s">
        <v>400</v>
      </c>
      <c r="E96" s="599" t="s">
        <v>426</v>
      </c>
      <c r="F96" s="599"/>
      <c r="G96" s="599" t="s">
        <v>407</v>
      </c>
      <c r="H96" s="606" t="s">
        <v>380</v>
      </c>
      <c r="I96" s="599" t="s">
        <v>358</v>
      </c>
      <c r="J96" s="599"/>
      <c r="K96" s="599">
        <v>16</v>
      </c>
      <c r="L96" s="606">
        <v>32</v>
      </c>
      <c r="M96" s="599"/>
      <c r="N96" s="599"/>
      <c r="O96" s="599" t="s">
        <v>359</v>
      </c>
      <c r="P96" s="599" t="s">
        <v>360</v>
      </c>
      <c r="Q96" s="606" t="s">
        <v>361</v>
      </c>
      <c r="R96" s="599" t="s">
        <v>362</v>
      </c>
      <c r="S96" s="599">
        <v>16</v>
      </c>
      <c r="T96" s="599" t="s">
        <v>414</v>
      </c>
      <c r="U96" s="599" t="s">
        <v>415</v>
      </c>
      <c r="V96" s="599" t="s">
        <v>359</v>
      </c>
      <c r="W96" s="599" t="s">
        <v>360</v>
      </c>
      <c r="X96" s="601" t="s">
        <v>364</v>
      </c>
      <c r="Y96" s="599">
        <v>1</v>
      </c>
      <c r="Z96" s="599">
        <v>1</v>
      </c>
      <c r="AA96" s="600"/>
      <c r="AB96" s="599"/>
      <c r="AC96" s="599"/>
      <c r="AD96" s="599"/>
      <c r="AE96" s="601" t="s">
        <v>419</v>
      </c>
      <c r="AF96" s="602" t="s">
        <v>105</v>
      </c>
      <c r="AG96" s="597">
        <v>64</v>
      </c>
      <c r="AH96" s="597">
        <v>28</v>
      </c>
      <c r="AI96" s="604">
        <v>3650</v>
      </c>
      <c r="AJ96" s="604">
        <v>2102.4</v>
      </c>
      <c r="AK96" s="604">
        <v>2920</v>
      </c>
      <c r="AL96" s="604">
        <v>327.04000000000002</v>
      </c>
    </row>
    <row r="97" spans="1:38" x14ac:dyDescent="0.2">
      <c r="A97" s="593" t="s">
        <v>481</v>
      </c>
      <c r="B97" s="593">
        <v>39</v>
      </c>
      <c r="C97" s="593">
        <v>39</v>
      </c>
      <c r="D97" s="593" t="s">
        <v>400</v>
      </c>
      <c r="E97" s="593" t="s">
        <v>400</v>
      </c>
      <c r="F97" s="593"/>
      <c r="G97" s="593" t="s">
        <v>407</v>
      </c>
      <c r="H97" s="606" t="s">
        <v>380</v>
      </c>
      <c r="I97" s="593" t="s">
        <v>358</v>
      </c>
      <c r="J97" s="593"/>
      <c r="K97" s="593">
        <v>4</v>
      </c>
      <c r="L97" s="606">
        <v>8</v>
      </c>
      <c r="M97" s="593"/>
      <c r="N97" s="593"/>
      <c r="O97" s="593" t="s">
        <v>359</v>
      </c>
      <c r="P97" s="593" t="s">
        <v>360</v>
      </c>
      <c r="Q97" s="606" t="s">
        <v>361</v>
      </c>
      <c r="R97" s="593" t="s">
        <v>362</v>
      </c>
      <c r="S97" s="593">
        <v>4</v>
      </c>
      <c r="T97" s="593" t="s">
        <v>427</v>
      </c>
      <c r="U97" s="593" t="s">
        <v>428</v>
      </c>
      <c r="V97" s="593" t="s">
        <v>359</v>
      </c>
      <c r="W97" s="593" t="s">
        <v>360</v>
      </c>
      <c r="X97" s="595" t="s">
        <v>364</v>
      </c>
      <c r="Y97" s="593">
        <v>1</v>
      </c>
      <c r="Z97" s="593">
        <v>2</v>
      </c>
      <c r="AA97" s="594"/>
      <c r="AB97" s="593"/>
      <c r="AC97" s="593"/>
      <c r="AD97" s="593"/>
      <c r="AE97" s="595" t="s">
        <v>419</v>
      </c>
      <c r="AF97" s="596" t="s">
        <v>105</v>
      </c>
      <c r="AG97" s="597">
        <v>64</v>
      </c>
      <c r="AH97" s="597">
        <v>28</v>
      </c>
      <c r="AI97" s="598">
        <v>3650</v>
      </c>
      <c r="AJ97" s="598">
        <v>525.6</v>
      </c>
      <c r="AK97" s="598">
        <v>2920</v>
      </c>
      <c r="AL97" s="598">
        <v>81.760000000000005</v>
      </c>
    </row>
    <row r="98" spans="1:38" x14ac:dyDescent="0.2">
      <c r="A98" s="593" t="s">
        <v>481</v>
      </c>
      <c r="B98" s="593">
        <v>45</v>
      </c>
      <c r="C98" s="593">
        <v>45</v>
      </c>
      <c r="D98" s="593" t="s">
        <v>357</v>
      </c>
      <c r="E98" s="593" t="s">
        <v>49</v>
      </c>
      <c r="F98" s="593"/>
      <c r="G98" s="593" t="s">
        <v>49</v>
      </c>
      <c r="H98" s="606" t="s">
        <v>380</v>
      </c>
      <c r="I98" s="593" t="s">
        <v>375</v>
      </c>
      <c r="J98" s="593"/>
      <c r="K98" s="593">
        <v>22</v>
      </c>
      <c r="L98" s="606">
        <v>44</v>
      </c>
      <c r="M98" s="593"/>
      <c r="N98" s="593"/>
      <c r="O98" s="593" t="s">
        <v>359</v>
      </c>
      <c r="P98" s="593" t="s">
        <v>360</v>
      </c>
      <c r="Q98" s="606" t="s">
        <v>361</v>
      </c>
      <c r="R98" s="593" t="s">
        <v>362</v>
      </c>
      <c r="S98" s="593">
        <v>22</v>
      </c>
      <c r="T98" s="593" t="s">
        <v>429</v>
      </c>
      <c r="U98" s="593" t="s">
        <v>376</v>
      </c>
      <c r="V98" s="593" t="s">
        <v>359</v>
      </c>
      <c r="W98" s="593" t="s">
        <v>360</v>
      </c>
      <c r="X98" s="595"/>
      <c r="Y98" s="593"/>
      <c r="Z98" s="593"/>
      <c r="AA98" s="594"/>
      <c r="AB98" s="593"/>
      <c r="AC98" s="593"/>
      <c r="AD98" s="593"/>
      <c r="AE98" s="595" t="s">
        <v>370</v>
      </c>
      <c r="AF98" s="596" t="s">
        <v>105</v>
      </c>
      <c r="AG98" s="597">
        <v>64</v>
      </c>
      <c r="AH98" s="597">
        <v>28</v>
      </c>
      <c r="AI98" s="598">
        <v>1800</v>
      </c>
      <c r="AJ98" s="598">
        <v>1425.6</v>
      </c>
      <c r="AK98" s="598">
        <v>1800</v>
      </c>
      <c r="AL98" s="598">
        <v>0</v>
      </c>
    </row>
    <row r="99" spans="1:38" x14ac:dyDescent="0.2">
      <c r="A99" s="593" t="s">
        <v>481</v>
      </c>
      <c r="B99" s="593">
        <v>47</v>
      </c>
      <c r="C99" s="593">
        <v>47</v>
      </c>
      <c r="D99" s="593" t="s">
        <v>293</v>
      </c>
      <c r="E99" s="593" t="s">
        <v>293</v>
      </c>
      <c r="F99" s="593"/>
      <c r="G99" s="593" t="s">
        <v>293</v>
      </c>
      <c r="H99" s="606" t="s">
        <v>380</v>
      </c>
      <c r="I99" s="593" t="s">
        <v>368</v>
      </c>
      <c r="J99" s="593"/>
      <c r="K99" s="593">
        <v>48</v>
      </c>
      <c r="L99" s="606">
        <v>96</v>
      </c>
      <c r="M99" s="593"/>
      <c r="N99" s="593"/>
      <c r="O99" s="593" t="s">
        <v>359</v>
      </c>
      <c r="P99" s="593" t="s">
        <v>360</v>
      </c>
      <c r="Q99" s="606" t="s">
        <v>361</v>
      </c>
      <c r="R99" s="593" t="s">
        <v>362</v>
      </c>
      <c r="S99" s="593">
        <v>48</v>
      </c>
      <c r="T99" s="593" t="s">
        <v>430</v>
      </c>
      <c r="U99" s="593" t="s">
        <v>431</v>
      </c>
      <c r="V99" s="593" t="s">
        <v>359</v>
      </c>
      <c r="W99" s="593" t="s">
        <v>360</v>
      </c>
      <c r="X99" s="595" t="s">
        <v>432</v>
      </c>
      <c r="Y99" s="593">
        <v>1</v>
      </c>
      <c r="Z99" s="593"/>
      <c r="AA99" s="594"/>
      <c r="AB99" s="593"/>
      <c r="AC99" s="593"/>
      <c r="AD99" s="593"/>
      <c r="AE99" s="595" t="s">
        <v>433</v>
      </c>
      <c r="AF99" s="596" t="s">
        <v>105</v>
      </c>
      <c r="AG99" s="597">
        <v>64</v>
      </c>
      <c r="AH99" s="597">
        <v>28</v>
      </c>
      <c r="AI99" s="598">
        <v>2400</v>
      </c>
      <c r="AJ99" s="598">
        <v>4147.2</v>
      </c>
      <c r="AK99" s="598">
        <v>1680</v>
      </c>
      <c r="AL99" s="598">
        <v>967.68</v>
      </c>
    </row>
    <row r="100" spans="1:38" x14ac:dyDescent="0.2">
      <c r="A100" s="599" t="s">
        <v>481</v>
      </c>
      <c r="B100" s="599">
        <v>48</v>
      </c>
      <c r="C100" s="599">
        <v>48</v>
      </c>
      <c r="D100" s="599" t="s">
        <v>293</v>
      </c>
      <c r="E100" s="599" t="s">
        <v>434</v>
      </c>
      <c r="F100" s="599"/>
      <c r="G100" s="599" t="s">
        <v>434</v>
      </c>
      <c r="H100" s="606" t="s">
        <v>380</v>
      </c>
      <c r="I100" s="599" t="s">
        <v>374</v>
      </c>
      <c r="J100" s="599"/>
      <c r="K100" s="599">
        <v>2</v>
      </c>
      <c r="L100" s="606">
        <v>4</v>
      </c>
      <c r="M100" s="599"/>
      <c r="N100" s="599"/>
      <c r="O100" s="599" t="s">
        <v>359</v>
      </c>
      <c r="P100" s="599" t="s">
        <v>360</v>
      </c>
      <c r="Q100" s="606" t="s">
        <v>361</v>
      </c>
      <c r="R100" s="599" t="s">
        <v>362</v>
      </c>
      <c r="S100" s="599">
        <v>2</v>
      </c>
      <c r="T100" s="599" t="s">
        <v>391</v>
      </c>
      <c r="U100" s="599" t="s">
        <v>392</v>
      </c>
      <c r="V100" s="599" t="s">
        <v>359</v>
      </c>
      <c r="W100" s="599" t="s">
        <v>360</v>
      </c>
      <c r="X100" s="601" t="s">
        <v>369</v>
      </c>
      <c r="Y100" s="599">
        <v>1</v>
      </c>
      <c r="Z100" s="599">
        <v>1</v>
      </c>
      <c r="AA100" s="600"/>
      <c r="AB100" s="599"/>
      <c r="AC100" s="599"/>
      <c r="AD100" s="599"/>
      <c r="AE100" s="601" t="s">
        <v>435</v>
      </c>
      <c r="AF100" s="602" t="s">
        <v>105</v>
      </c>
      <c r="AG100" s="597">
        <v>64</v>
      </c>
      <c r="AH100" s="597">
        <v>28</v>
      </c>
      <c r="AI100" s="604">
        <v>360</v>
      </c>
      <c r="AJ100" s="604">
        <v>25.92</v>
      </c>
      <c r="AK100" s="604">
        <v>288</v>
      </c>
      <c r="AL100" s="604">
        <v>4.032</v>
      </c>
    </row>
    <row r="101" spans="1:38" x14ac:dyDescent="0.2">
      <c r="A101" s="599" t="s">
        <v>481</v>
      </c>
      <c r="B101" s="599">
        <v>50</v>
      </c>
      <c r="C101" s="599">
        <v>50</v>
      </c>
      <c r="D101" s="599" t="s">
        <v>293</v>
      </c>
      <c r="E101" s="599" t="s">
        <v>436</v>
      </c>
      <c r="F101" s="599"/>
      <c r="G101" s="599" t="s">
        <v>437</v>
      </c>
      <c r="H101" s="606" t="s">
        <v>380</v>
      </c>
      <c r="I101" s="599" t="s">
        <v>368</v>
      </c>
      <c r="J101" s="599"/>
      <c r="K101" s="599">
        <v>6</v>
      </c>
      <c r="L101" s="606">
        <v>12</v>
      </c>
      <c r="M101" s="599"/>
      <c r="N101" s="599"/>
      <c r="O101" s="599" t="s">
        <v>359</v>
      </c>
      <c r="P101" s="599" t="s">
        <v>360</v>
      </c>
      <c r="Q101" s="606" t="s">
        <v>361</v>
      </c>
      <c r="R101" s="599" t="s">
        <v>362</v>
      </c>
      <c r="S101" s="599">
        <v>6</v>
      </c>
      <c r="T101" s="599" t="s">
        <v>385</v>
      </c>
      <c r="U101" s="599" t="s">
        <v>386</v>
      </c>
      <c r="V101" s="599" t="s">
        <v>359</v>
      </c>
      <c r="W101" s="599" t="s">
        <v>360</v>
      </c>
      <c r="X101" s="601"/>
      <c r="Y101" s="599"/>
      <c r="Z101" s="599"/>
      <c r="AA101" s="600"/>
      <c r="AB101" s="599"/>
      <c r="AC101" s="599"/>
      <c r="AD101" s="599"/>
      <c r="AE101" s="601" t="s">
        <v>438</v>
      </c>
      <c r="AF101" s="602" t="s">
        <v>105</v>
      </c>
      <c r="AG101" s="597">
        <v>64</v>
      </c>
      <c r="AH101" s="597">
        <v>28</v>
      </c>
      <c r="AI101" s="604">
        <v>2520</v>
      </c>
      <c r="AJ101" s="604">
        <v>544.32000000000005</v>
      </c>
      <c r="AK101" s="604">
        <v>2520</v>
      </c>
      <c r="AL101" s="604">
        <v>0</v>
      </c>
    </row>
    <row r="102" spans="1:38" x14ac:dyDescent="0.2">
      <c r="A102" s="593" t="s">
        <v>481</v>
      </c>
      <c r="B102" s="593">
        <v>51</v>
      </c>
      <c r="C102" s="593">
        <v>51</v>
      </c>
      <c r="D102" s="593" t="s">
        <v>293</v>
      </c>
      <c r="E102" s="593" t="s">
        <v>436</v>
      </c>
      <c r="F102" s="593"/>
      <c r="G102" s="593" t="s">
        <v>437</v>
      </c>
      <c r="H102" s="606" t="s">
        <v>380</v>
      </c>
      <c r="I102" s="593" t="s">
        <v>368</v>
      </c>
      <c r="J102" s="593"/>
      <c r="K102" s="593">
        <v>12</v>
      </c>
      <c r="L102" s="606">
        <v>24</v>
      </c>
      <c r="M102" s="593"/>
      <c r="N102" s="593"/>
      <c r="O102" s="593" t="s">
        <v>359</v>
      </c>
      <c r="P102" s="593" t="s">
        <v>360</v>
      </c>
      <c r="Q102" s="606" t="s">
        <v>361</v>
      </c>
      <c r="R102" s="593" t="s">
        <v>362</v>
      </c>
      <c r="S102" s="593">
        <v>12</v>
      </c>
      <c r="T102" s="593" t="s">
        <v>439</v>
      </c>
      <c r="U102" s="593" t="s">
        <v>440</v>
      </c>
      <c r="V102" s="593" t="s">
        <v>359</v>
      </c>
      <c r="W102" s="593" t="s">
        <v>360</v>
      </c>
      <c r="X102" s="595" t="s">
        <v>441</v>
      </c>
      <c r="Y102" s="593">
        <v>1</v>
      </c>
      <c r="Z102" s="593">
        <v>1</v>
      </c>
      <c r="AA102" s="594"/>
      <c r="AB102" s="593"/>
      <c r="AC102" s="593"/>
      <c r="AD102" s="593"/>
      <c r="AE102" s="595" t="s">
        <v>438</v>
      </c>
      <c r="AF102" s="596" t="s">
        <v>105</v>
      </c>
      <c r="AG102" s="597">
        <v>64</v>
      </c>
      <c r="AH102" s="597">
        <v>28</v>
      </c>
      <c r="AI102" s="598">
        <v>2520</v>
      </c>
      <c r="AJ102" s="598">
        <v>1088.6400000000001</v>
      </c>
      <c r="AK102" s="598">
        <v>1512</v>
      </c>
      <c r="AL102" s="598">
        <v>338.68799999999999</v>
      </c>
    </row>
    <row r="103" spans="1:38" x14ac:dyDescent="0.2">
      <c r="A103" s="599" t="s">
        <v>481</v>
      </c>
      <c r="B103" s="599">
        <v>52</v>
      </c>
      <c r="C103" s="599">
        <v>52</v>
      </c>
      <c r="D103" s="599" t="s">
        <v>293</v>
      </c>
      <c r="E103" s="599" t="s">
        <v>442</v>
      </c>
      <c r="F103" s="599"/>
      <c r="G103" s="599" t="s">
        <v>437</v>
      </c>
      <c r="H103" s="606" t="s">
        <v>380</v>
      </c>
      <c r="I103" s="599" t="s">
        <v>368</v>
      </c>
      <c r="J103" s="599"/>
      <c r="K103" s="599">
        <v>6</v>
      </c>
      <c r="L103" s="606">
        <v>12</v>
      </c>
      <c r="M103" s="599"/>
      <c r="N103" s="599"/>
      <c r="O103" s="599" t="s">
        <v>359</v>
      </c>
      <c r="P103" s="599" t="s">
        <v>360</v>
      </c>
      <c r="Q103" s="606" t="s">
        <v>361</v>
      </c>
      <c r="R103" s="599" t="s">
        <v>362</v>
      </c>
      <c r="S103" s="599">
        <v>6</v>
      </c>
      <c r="T103" s="599" t="s">
        <v>385</v>
      </c>
      <c r="U103" s="599" t="s">
        <v>386</v>
      </c>
      <c r="V103" s="599" t="s">
        <v>359</v>
      </c>
      <c r="W103" s="599" t="s">
        <v>360</v>
      </c>
      <c r="X103" s="601"/>
      <c r="Y103" s="599"/>
      <c r="Z103" s="599"/>
      <c r="AA103" s="600"/>
      <c r="AB103" s="599"/>
      <c r="AC103" s="599"/>
      <c r="AD103" s="599"/>
      <c r="AE103" s="601"/>
      <c r="AF103" s="602" t="s">
        <v>105</v>
      </c>
      <c r="AG103" s="597">
        <v>64</v>
      </c>
      <c r="AH103" s="597">
        <v>28</v>
      </c>
      <c r="AI103" s="604">
        <v>2520</v>
      </c>
      <c r="AJ103" s="604">
        <v>544.32000000000005</v>
      </c>
      <c r="AK103" s="604">
        <v>2520</v>
      </c>
      <c r="AL103" s="604">
        <v>0</v>
      </c>
    </row>
    <row r="104" spans="1:38" x14ac:dyDescent="0.2">
      <c r="A104" s="599" t="s">
        <v>481</v>
      </c>
      <c r="B104" s="599">
        <v>54</v>
      </c>
      <c r="C104" s="599">
        <v>54</v>
      </c>
      <c r="D104" s="599" t="s">
        <v>293</v>
      </c>
      <c r="E104" s="599" t="s">
        <v>366</v>
      </c>
      <c r="F104" s="599"/>
      <c r="G104" s="599" t="s">
        <v>437</v>
      </c>
      <c r="H104" s="606" t="s">
        <v>380</v>
      </c>
      <c r="I104" s="599" t="s">
        <v>368</v>
      </c>
      <c r="J104" s="599"/>
      <c r="K104" s="599">
        <v>3</v>
      </c>
      <c r="L104" s="606">
        <v>6</v>
      </c>
      <c r="M104" s="599"/>
      <c r="N104" s="599"/>
      <c r="O104" s="599" t="s">
        <v>359</v>
      </c>
      <c r="P104" s="599" t="s">
        <v>360</v>
      </c>
      <c r="Q104" s="606" t="s">
        <v>361</v>
      </c>
      <c r="R104" s="599" t="s">
        <v>362</v>
      </c>
      <c r="S104" s="599">
        <v>3</v>
      </c>
      <c r="T104" s="599" t="s">
        <v>388</v>
      </c>
      <c r="U104" s="599" t="s">
        <v>389</v>
      </c>
      <c r="V104" s="599" t="s">
        <v>359</v>
      </c>
      <c r="W104" s="599" t="s">
        <v>360</v>
      </c>
      <c r="X104" s="601"/>
      <c r="Y104" s="599"/>
      <c r="Z104" s="599"/>
      <c r="AA104" s="600"/>
      <c r="AB104" s="599"/>
      <c r="AC104" s="599"/>
      <c r="AD104" s="599"/>
      <c r="AE104" s="601"/>
      <c r="AF104" s="602" t="s">
        <v>105</v>
      </c>
      <c r="AG104" s="597">
        <v>64</v>
      </c>
      <c r="AH104" s="597">
        <v>28</v>
      </c>
      <c r="AI104" s="604">
        <v>2520</v>
      </c>
      <c r="AJ104" s="604">
        <v>272.16000000000003</v>
      </c>
      <c r="AK104" s="604">
        <v>2520</v>
      </c>
      <c r="AL104" s="604">
        <v>0</v>
      </c>
    </row>
    <row r="105" spans="1:38" x14ac:dyDescent="0.2">
      <c r="A105" s="599" t="s">
        <v>481</v>
      </c>
      <c r="B105" s="599">
        <v>56</v>
      </c>
      <c r="C105" s="599">
        <v>56</v>
      </c>
      <c r="D105" s="599" t="s">
        <v>293</v>
      </c>
      <c r="E105" s="599" t="s">
        <v>443</v>
      </c>
      <c r="F105" s="599"/>
      <c r="G105" s="599" t="s">
        <v>437</v>
      </c>
      <c r="H105" s="606" t="s">
        <v>380</v>
      </c>
      <c r="I105" s="599" t="s">
        <v>368</v>
      </c>
      <c r="J105" s="599"/>
      <c r="K105" s="599">
        <v>6</v>
      </c>
      <c r="L105" s="606">
        <v>12</v>
      </c>
      <c r="M105" s="599"/>
      <c r="N105" s="599"/>
      <c r="O105" s="599" t="s">
        <v>359</v>
      </c>
      <c r="P105" s="599" t="s">
        <v>360</v>
      </c>
      <c r="Q105" s="606" t="s">
        <v>361</v>
      </c>
      <c r="R105" s="599" t="s">
        <v>362</v>
      </c>
      <c r="S105" s="599">
        <v>6</v>
      </c>
      <c r="T105" s="599" t="s">
        <v>385</v>
      </c>
      <c r="U105" s="599" t="s">
        <v>386</v>
      </c>
      <c r="V105" s="599" t="s">
        <v>359</v>
      </c>
      <c r="W105" s="599" t="s">
        <v>360</v>
      </c>
      <c r="X105" s="601"/>
      <c r="Y105" s="599"/>
      <c r="Z105" s="599"/>
      <c r="AA105" s="600"/>
      <c r="AB105" s="599"/>
      <c r="AC105" s="599"/>
      <c r="AD105" s="599"/>
      <c r="AE105" s="601" t="s">
        <v>438</v>
      </c>
      <c r="AF105" s="602" t="s">
        <v>105</v>
      </c>
      <c r="AG105" s="597">
        <v>64</v>
      </c>
      <c r="AH105" s="597">
        <v>28</v>
      </c>
      <c r="AI105" s="604">
        <v>2520</v>
      </c>
      <c r="AJ105" s="604">
        <v>544.32000000000005</v>
      </c>
      <c r="AK105" s="604">
        <v>2520</v>
      </c>
      <c r="AL105" s="604">
        <v>0</v>
      </c>
    </row>
    <row r="106" spans="1:38" x14ac:dyDescent="0.2">
      <c r="A106" s="593" t="s">
        <v>481</v>
      </c>
      <c r="B106" s="593">
        <v>57</v>
      </c>
      <c r="C106" s="593">
        <v>57</v>
      </c>
      <c r="D106" s="593" t="s">
        <v>293</v>
      </c>
      <c r="E106" s="593" t="s">
        <v>443</v>
      </c>
      <c r="F106" s="593"/>
      <c r="G106" s="593" t="s">
        <v>437</v>
      </c>
      <c r="H106" s="606" t="s">
        <v>380</v>
      </c>
      <c r="I106" s="593" t="s">
        <v>368</v>
      </c>
      <c r="J106" s="593"/>
      <c r="K106" s="593">
        <v>12</v>
      </c>
      <c r="L106" s="606">
        <v>24</v>
      </c>
      <c r="M106" s="593"/>
      <c r="N106" s="593"/>
      <c r="O106" s="593" t="s">
        <v>359</v>
      </c>
      <c r="P106" s="593" t="s">
        <v>360</v>
      </c>
      <c r="Q106" s="606" t="s">
        <v>361</v>
      </c>
      <c r="R106" s="593" t="s">
        <v>362</v>
      </c>
      <c r="S106" s="593">
        <v>12</v>
      </c>
      <c r="T106" s="593" t="s">
        <v>439</v>
      </c>
      <c r="U106" s="593" t="s">
        <v>440</v>
      </c>
      <c r="V106" s="593" t="s">
        <v>359</v>
      </c>
      <c r="W106" s="593" t="s">
        <v>360</v>
      </c>
      <c r="X106" s="595" t="s">
        <v>441</v>
      </c>
      <c r="Y106" s="593">
        <v>1</v>
      </c>
      <c r="Z106" s="593">
        <v>1</v>
      </c>
      <c r="AA106" s="594"/>
      <c r="AB106" s="593"/>
      <c r="AC106" s="593"/>
      <c r="AD106" s="593"/>
      <c r="AE106" s="595" t="s">
        <v>438</v>
      </c>
      <c r="AF106" s="596" t="s">
        <v>105</v>
      </c>
      <c r="AG106" s="597">
        <v>64</v>
      </c>
      <c r="AH106" s="597">
        <v>28</v>
      </c>
      <c r="AI106" s="598">
        <v>2520</v>
      </c>
      <c r="AJ106" s="598">
        <v>1088.6400000000001</v>
      </c>
      <c r="AK106" s="598">
        <v>1512</v>
      </c>
      <c r="AL106" s="598">
        <v>338.68799999999999</v>
      </c>
    </row>
    <row r="107" spans="1:38" x14ac:dyDescent="0.2">
      <c r="A107" s="599" t="s">
        <v>481</v>
      </c>
      <c r="B107" s="599">
        <v>58</v>
      </c>
      <c r="C107" s="599">
        <v>58</v>
      </c>
      <c r="D107" s="599" t="s">
        <v>293</v>
      </c>
      <c r="E107" s="599" t="s">
        <v>442</v>
      </c>
      <c r="F107" s="599"/>
      <c r="G107" s="599" t="s">
        <v>437</v>
      </c>
      <c r="H107" s="606" t="s">
        <v>380</v>
      </c>
      <c r="I107" s="599" t="s">
        <v>368</v>
      </c>
      <c r="J107" s="599"/>
      <c r="K107" s="599">
        <v>6</v>
      </c>
      <c r="L107" s="606">
        <v>12</v>
      </c>
      <c r="M107" s="599"/>
      <c r="N107" s="599"/>
      <c r="O107" s="599" t="s">
        <v>359</v>
      </c>
      <c r="P107" s="599" t="s">
        <v>360</v>
      </c>
      <c r="Q107" s="606" t="s">
        <v>361</v>
      </c>
      <c r="R107" s="599" t="s">
        <v>362</v>
      </c>
      <c r="S107" s="599">
        <v>6</v>
      </c>
      <c r="T107" s="599" t="s">
        <v>385</v>
      </c>
      <c r="U107" s="599" t="s">
        <v>386</v>
      </c>
      <c r="V107" s="599" t="s">
        <v>359</v>
      </c>
      <c r="W107" s="599" t="s">
        <v>360</v>
      </c>
      <c r="X107" s="601"/>
      <c r="Y107" s="599"/>
      <c r="Z107" s="599"/>
      <c r="AA107" s="600"/>
      <c r="AB107" s="599"/>
      <c r="AC107" s="599"/>
      <c r="AD107" s="599"/>
      <c r="AE107" s="601"/>
      <c r="AF107" s="602" t="s">
        <v>105</v>
      </c>
      <c r="AG107" s="597">
        <v>64</v>
      </c>
      <c r="AH107" s="597">
        <v>28</v>
      </c>
      <c r="AI107" s="604">
        <v>2520</v>
      </c>
      <c r="AJ107" s="604">
        <v>544.32000000000005</v>
      </c>
      <c r="AK107" s="604">
        <v>2520</v>
      </c>
      <c r="AL107" s="604">
        <v>0</v>
      </c>
    </row>
    <row r="108" spans="1:38" x14ac:dyDescent="0.2">
      <c r="A108" s="599" t="s">
        <v>481</v>
      </c>
      <c r="B108" s="599">
        <v>60</v>
      </c>
      <c r="C108" s="599">
        <v>60</v>
      </c>
      <c r="D108" s="599" t="s">
        <v>293</v>
      </c>
      <c r="E108" s="599" t="s">
        <v>371</v>
      </c>
      <c r="F108" s="599"/>
      <c r="G108" s="599" t="s">
        <v>437</v>
      </c>
      <c r="H108" s="606" t="s">
        <v>380</v>
      </c>
      <c r="I108" s="599" t="s">
        <v>368</v>
      </c>
      <c r="J108" s="599"/>
      <c r="K108" s="599">
        <v>3</v>
      </c>
      <c r="L108" s="606">
        <v>6</v>
      </c>
      <c r="M108" s="599"/>
      <c r="N108" s="599"/>
      <c r="O108" s="599" t="s">
        <v>359</v>
      </c>
      <c r="P108" s="599" t="s">
        <v>360</v>
      </c>
      <c r="Q108" s="606" t="s">
        <v>361</v>
      </c>
      <c r="R108" s="599" t="s">
        <v>362</v>
      </c>
      <c r="S108" s="599">
        <v>3</v>
      </c>
      <c r="T108" s="599" t="s">
        <v>388</v>
      </c>
      <c r="U108" s="599" t="s">
        <v>389</v>
      </c>
      <c r="V108" s="599" t="s">
        <v>359</v>
      </c>
      <c r="W108" s="599" t="s">
        <v>360</v>
      </c>
      <c r="X108" s="601"/>
      <c r="Y108" s="599"/>
      <c r="Z108" s="599"/>
      <c r="AA108" s="600"/>
      <c r="AB108" s="599"/>
      <c r="AC108" s="599"/>
      <c r="AD108" s="599"/>
      <c r="AE108" s="601"/>
      <c r="AF108" s="602" t="s">
        <v>105</v>
      </c>
      <c r="AG108" s="597">
        <v>64</v>
      </c>
      <c r="AH108" s="597">
        <v>28</v>
      </c>
      <c r="AI108" s="604">
        <v>2520</v>
      </c>
      <c r="AJ108" s="604">
        <v>272.16000000000003</v>
      </c>
      <c r="AK108" s="604">
        <v>2520</v>
      </c>
      <c r="AL108" s="604">
        <v>0</v>
      </c>
    </row>
    <row r="109" spans="1:38" x14ac:dyDescent="0.2">
      <c r="A109" s="593" t="s">
        <v>481</v>
      </c>
      <c r="B109" s="593">
        <v>63</v>
      </c>
      <c r="C109" s="593">
        <v>63</v>
      </c>
      <c r="D109" s="593" t="s">
        <v>444</v>
      </c>
      <c r="E109" s="593" t="s">
        <v>401</v>
      </c>
      <c r="F109" s="593"/>
      <c r="G109" s="593" t="s">
        <v>402</v>
      </c>
      <c r="H109" s="606" t="s">
        <v>380</v>
      </c>
      <c r="I109" s="593" t="s">
        <v>358</v>
      </c>
      <c r="J109" s="593"/>
      <c r="K109" s="593">
        <v>34</v>
      </c>
      <c r="L109" s="606">
        <v>68</v>
      </c>
      <c r="M109" s="593"/>
      <c r="N109" s="593"/>
      <c r="O109" s="593" t="s">
        <v>359</v>
      </c>
      <c r="P109" s="593" t="s">
        <v>360</v>
      </c>
      <c r="Q109" s="606" t="s">
        <v>361</v>
      </c>
      <c r="R109" s="593" t="s">
        <v>362</v>
      </c>
      <c r="S109" s="593">
        <v>34</v>
      </c>
      <c r="T109" s="593" t="s">
        <v>445</v>
      </c>
      <c r="U109" s="593" t="s">
        <v>446</v>
      </c>
      <c r="V109" s="593" t="s">
        <v>359</v>
      </c>
      <c r="W109" s="593" t="s">
        <v>360</v>
      </c>
      <c r="X109" s="595"/>
      <c r="Y109" s="593"/>
      <c r="Z109" s="593"/>
      <c r="AA109" s="594"/>
      <c r="AB109" s="593"/>
      <c r="AC109" s="593"/>
      <c r="AD109" s="593"/>
      <c r="AE109" s="595" t="s">
        <v>447</v>
      </c>
      <c r="AF109" s="596" t="s">
        <v>105</v>
      </c>
      <c r="AG109" s="597">
        <v>64</v>
      </c>
      <c r="AH109" s="597">
        <v>28</v>
      </c>
      <c r="AI109" s="598">
        <v>2160</v>
      </c>
      <c r="AJ109" s="598">
        <v>2643.84</v>
      </c>
      <c r="AK109" s="598">
        <v>2160</v>
      </c>
      <c r="AL109" s="598">
        <v>0</v>
      </c>
    </row>
    <row r="110" spans="1:38" x14ac:dyDescent="0.2">
      <c r="A110" s="599" t="s">
        <v>481</v>
      </c>
      <c r="B110" s="599">
        <v>64</v>
      </c>
      <c r="C110" s="599">
        <v>64</v>
      </c>
      <c r="D110" s="599" t="s">
        <v>444</v>
      </c>
      <c r="E110" s="599" t="s">
        <v>398</v>
      </c>
      <c r="F110" s="599"/>
      <c r="G110" s="599" t="s">
        <v>367</v>
      </c>
      <c r="H110" s="606" t="s">
        <v>380</v>
      </c>
      <c r="I110" s="599" t="s">
        <v>368</v>
      </c>
      <c r="J110" s="599"/>
      <c r="K110" s="599">
        <v>5</v>
      </c>
      <c r="L110" s="606">
        <v>10</v>
      </c>
      <c r="M110" s="599"/>
      <c r="N110" s="599"/>
      <c r="O110" s="599" t="s">
        <v>359</v>
      </c>
      <c r="P110" s="599" t="s">
        <v>360</v>
      </c>
      <c r="Q110" s="606" t="s">
        <v>361</v>
      </c>
      <c r="R110" s="599" t="s">
        <v>362</v>
      </c>
      <c r="S110" s="599">
        <v>5</v>
      </c>
      <c r="T110" s="599" t="s">
        <v>448</v>
      </c>
      <c r="U110" s="599" t="s">
        <v>449</v>
      </c>
      <c r="V110" s="599" t="s">
        <v>359</v>
      </c>
      <c r="W110" s="599" t="s">
        <v>360</v>
      </c>
      <c r="X110" s="601" t="s">
        <v>369</v>
      </c>
      <c r="Y110" s="599">
        <v>1</v>
      </c>
      <c r="Z110" s="599">
        <v>1</v>
      </c>
      <c r="AA110" s="600"/>
      <c r="AB110" s="599"/>
      <c r="AC110" s="599"/>
      <c r="AD110" s="599"/>
      <c r="AE110" s="601" t="s">
        <v>450</v>
      </c>
      <c r="AF110" s="602" t="s">
        <v>105</v>
      </c>
      <c r="AG110" s="597">
        <v>64</v>
      </c>
      <c r="AH110" s="597">
        <v>28</v>
      </c>
      <c r="AI110" s="604">
        <v>2160</v>
      </c>
      <c r="AJ110" s="604">
        <v>388.8</v>
      </c>
      <c r="AK110" s="604">
        <v>1728</v>
      </c>
      <c r="AL110" s="604">
        <v>60.48</v>
      </c>
    </row>
    <row r="111" spans="1:38" x14ac:dyDescent="0.2">
      <c r="A111" s="593" t="s">
        <v>481</v>
      </c>
      <c r="B111" s="593">
        <v>65</v>
      </c>
      <c r="C111" s="593">
        <v>65</v>
      </c>
      <c r="D111" s="593" t="s">
        <v>444</v>
      </c>
      <c r="E111" s="593" t="s">
        <v>399</v>
      </c>
      <c r="F111" s="593"/>
      <c r="G111" s="593" t="s">
        <v>367</v>
      </c>
      <c r="H111" s="606" t="s">
        <v>380</v>
      </c>
      <c r="I111" s="593" t="s">
        <v>368</v>
      </c>
      <c r="J111" s="593"/>
      <c r="K111" s="593">
        <v>5</v>
      </c>
      <c r="L111" s="606">
        <v>10</v>
      </c>
      <c r="M111" s="593"/>
      <c r="N111" s="593"/>
      <c r="O111" s="593" t="s">
        <v>359</v>
      </c>
      <c r="P111" s="593" t="s">
        <v>360</v>
      </c>
      <c r="Q111" s="606" t="s">
        <v>361</v>
      </c>
      <c r="R111" s="593" t="s">
        <v>362</v>
      </c>
      <c r="S111" s="593">
        <v>5</v>
      </c>
      <c r="T111" s="593" t="s">
        <v>448</v>
      </c>
      <c r="U111" s="593" t="s">
        <v>449</v>
      </c>
      <c r="V111" s="593" t="s">
        <v>359</v>
      </c>
      <c r="W111" s="593" t="s">
        <v>360</v>
      </c>
      <c r="X111" s="595" t="s">
        <v>369</v>
      </c>
      <c r="Y111" s="593">
        <v>1</v>
      </c>
      <c r="Z111" s="593">
        <v>1</v>
      </c>
      <c r="AA111" s="594"/>
      <c r="AB111" s="593"/>
      <c r="AC111" s="593"/>
      <c r="AD111" s="593"/>
      <c r="AE111" s="595" t="s">
        <v>450</v>
      </c>
      <c r="AF111" s="596" t="s">
        <v>105</v>
      </c>
      <c r="AG111" s="597">
        <v>64</v>
      </c>
      <c r="AH111" s="597">
        <v>28</v>
      </c>
      <c r="AI111" s="598">
        <v>2160</v>
      </c>
      <c r="AJ111" s="598">
        <v>388.8</v>
      </c>
      <c r="AK111" s="598">
        <v>1728</v>
      </c>
      <c r="AL111" s="598">
        <v>60.48</v>
      </c>
    </row>
    <row r="112" spans="1:38" x14ac:dyDescent="0.2">
      <c r="A112" s="599" t="s">
        <v>481</v>
      </c>
      <c r="B112" s="599">
        <v>66</v>
      </c>
      <c r="C112" s="599">
        <v>66</v>
      </c>
      <c r="D112" s="599" t="s">
        <v>444</v>
      </c>
      <c r="E112" s="599" t="s">
        <v>451</v>
      </c>
      <c r="F112" s="599"/>
      <c r="G112" s="599" t="s">
        <v>407</v>
      </c>
      <c r="H112" s="606" t="s">
        <v>380</v>
      </c>
      <c r="I112" s="599" t="s">
        <v>358</v>
      </c>
      <c r="J112" s="599"/>
      <c r="K112" s="599">
        <v>18</v>
      </c>
      <c r="L112" s="606">
        <v>36</v>
      </c>
      <c r="M112" s="599"/>
      <c r="N112" s="599"/>
      <c r="O112" s="599" t="s">
        <v>359</v>
      </c>
      <c r="P112" s="599" t="s">
        <v>360</v>
      </c>
      <c r="Q112" s="606" t="s">
        <v>361</v>
      </c>
      <c r="R112" s="599" t="s">
        <v>362</v>
      </c>
      <c r="S112" s="599">
        <v>18</v>
      </c>
      <c r="T112" s="599" t="s">
        <v>452</v>
      </c>
      <c r="U112" s="599" t="s">
        <v>453</v>
      </c>
      <c r="V112" s="599" t="s">
        <v>359</v>
      </c>
      <c r="W112" s="599" t="s">
        <v>360</v>
      </c>
      <c r="X112" s="601" t="s">
        <v>364</v>
      </c>
      <c r="Y112" s="599">
        <v>1</v>
      </c>
      <c r="Z112" s="599">
        <v>1</v>
      </c>
      <c r="AA112" s="600"/>
      <c r="AB112" s="599"/>
      <c r="AC112" s="599"/>
      <c r="AD112" s="599"/>
      <c r="AE112" s="601" t="s">
        <v>370</v>
      </c>
      <c r="AF112" s="602" t="s">
        <v>105</v>
      </c>
      <c r="AG112" s="597">
        <v>64</v>
      </c>
      <c r="AH112" s="597">
        <v>28</v>
      </c>
      <c r="AI112" s="604">
        <v>3650</v>
      </c>
      <c r="AJ112" s="604">
        <v>2365.1999999999998</v>
      </c>
      <c r="AK112" s="604">
        <v>2920</v>
      </c>
      <c r="AL112" s="604">
        <v>367.92</v>
      </c>
    </row>
    <row r="113" spans="1:38" x14ac:dyDescent="0.2">
      <c r="A113" s="599" t="s">
        <v>481</v>
      </c>
      <c r="B113" s="599">
        <v>68</v>
      </c>
      <c r="C113" s="599">
        <v>68</v>
      </c>
      <c r="D113" s="599" t="s">
        <v>444</v>
      </c>
      <c r="E113" s="599" t="s">
        <v>405</v>
      </c>
      <c r="F113" s="599"/>
      <c r="G113" s="599" t="s">
        <v>387</v>
      </c>
      <c r="H113" s="606" t="s">
        <v>380</v>
      </c>
      <c r="I113" s="599" t="s">
        <v>358</v>
      </c>
      <c r="J113" s="599"/>
      <c r="K113" s="599">
        <v>4</v>
      </c>
      <c r="L113" s="606">
        <v>8</v>
      </c>
      <c r="M113" s="599"/>
      <c r="N113" s="599"/>
      <c r="O113" s="599" t="s">
        <v>359</v>
      </c>
      <c r="P113" s="599" t="s">
        <v>360</v>
      </c>
      <c r="Q113" s="606" t="s">
        <v>361</v>
      </c>
      <c r="R113" s="599" t="s">
        <v>362</v>
      </c>
      <c r="S113" s="599">
        <v>4</v>
      </c>
      <c r="T113" s="599" t="s">
        <v>427</v>
      </c>
      <c r="U113" s="599" t="s">
        <v>428</v>
      </c>
      <c r="V113" s="599" t="s">
        <v>359</v>
      </c>
      <c r="W113" s="599" t="s">
        <v>360</v>
      </c>
      <c r="X113" s="601" t="s">
        <v>369</v>
      </c>
      <c r="Y113" s="599">
        <v>1</v>
      </c>
      <c r="Z113" s="599">
        <v>1</v>
      </c>
      <c r="AA113" s="600"/>
      <c r="AB113" s="599"/>
      <c r="AC113" s="599"/>
      <c r="AD113" s="599"/>
      <c r="AE113" s="601" t="s">
        <v>370</v>
      </c>
      <c r="AF113" s="602" t="s">
        <v>105</v>
      </c>
      <c r="AG113" s="597">
        <v>64</v>
      </c>
      <c r="AH113" s="597">
        <v>28</v>
      </c>
      <c r="AI113" s="604">
        <v>1800</v>
      </c>
      <c r="AJ113" s="604">
        <v>259.2</v>
      </c>
      <c r="AK113" s="604">
        <v>1440</v>
      </c>
      <c r="AL113" s="604">
        <v>40.32</v>
      </c>
    </row>
    <row r="114" spans="1:38" x14ac:dyDescent="0.2">
      <c r="A114" s="593" t="s">
        <v>481</v>
      </c>
      <c r="B114" s="593">
        <v>69</v>
      </c>
      <c r="C114" s="593">
        <v>69</v>
      </c>
      <c r="D114" s="593" t="s">
        <v>444</v>
      </c>
      <c r="E114" s="593" t="s">
        <v>454</v>
      </c>
      <c r="F114" s="593"/>
      <c r="G114" s="593" t="s">
        <v>407</v>
      </c>
      <c r="H114" s="606" t="s">
        <v>380</v>
      </c>
      <c r="I114" s="593" t="s">
        <v>358</v>
      </c>
      <c r="J114" s="593"/>
      <c r="K114" s="593">
        <v>21</v>
      </c>
      <c r="L114" s="606">
        <v>42</v>
      </c>
      <c r="M114" s="593"/>
      <c r="N114" s="593"/>
      <c r="O114" s="593" t="s">
        <v>359</v>
      </c>
      <c r="P114" s="593" t="s">
        <v>360</v>
      </c>
      <c r="Q114" s="606" t="s">
        <v>361</v>
      </c>
      <c r="R114" s="593" t="s">
        <v>362</v>
      </c>
      <c r="S114" s="593">
        <v>21</v>
      </c>
      <c r="T114" s="593" t="s">
        <v>455</v>
      </c>
      <c r="U114" s="593" t="s">
        <v>456</v>
      </c>
      <c r="V114" s="593" t="s">
        <v>359</v>
      </c>
      <c r="W114" s="593" t="s">
        <v>360</v>
      </c>
      <c r="X114" s="595" t="s">
        <v>364</v>
      </c>
      <c r="Y114" s="593">
        <v>1</v>
      </c>
      <c r="Z114" s="593">
        <v>1</v>
      </c>
      <c r="AA114" s="594"/>
      <c r="AB114" s="593"/>
      <c r="AC114" s="593"/>
      <c r="AD114" s="593"/>
      <c r="AE114" s="595" t="s">
        <v>370</v>
      </c>
      <c r="AF114" s="596" t="s">
        <v>105</v>
      </c>
      <c r="AG114" s="597">
        <v>64</v>
      </c>
      <c r="AH114" s="597">
        <v>28</v>
      </c>
      <c r="AI114" s="598">
        <v>3650</v>
      </c>
      <c r="AJ114" s="598">
        <v>2759.4</v>
      </c>
      <c r="AK114" s="598">
        <v>2920</v>
      </c>
      <c r="AL114" s="598">
        <v>429.24</v>
      </c>
    </row>
    <row r="115" spans="1:38" x14ac:dyDescent="0.2">
      <c r="A115" s="593" t="s">
        <v>481</v>
      </c>
      <c r="B115" s="593">
        <v>71</v>
      </c>
      <c r="C115" s="593">
        <v>71</v>
      </c>
      <c r="D115" s="593" t="s">
        <v>444</v>
      </c>
      <c r="E115" s="593" t="s">
        <v>373</v>
      </c>
      <c r="F115" s="593"/>
      <c r="G115" s="593" t="s">
        <v>373</v>
      </c>
      <c r="H115" s="606" t="s">
        <v>380</v>
      </c>
      <c r="I115" s="593" t="s">
        <v>374</v>
      </c>
      <c r="J115" s="593"/>
      <c r="K115" s="593">
        <v>2</v>
      </c>
      <c r="L115" s="606">
        <v>4</v>
      </c>
      <c r="M115" s="593"/>
      <c r="N115" s="593"/>
      <c r="O115" s="593" t="s">
        <v>359</v>
      </c>
      <c r="P115" s="593" t="s">
        <v>360</v>
      </c>
      <c r="Q115" s="606" t="s">
        <v>361</v>
      </c>
      <c r="R115" s="593" t="s">
        <v>362</v>
      </c>
      <c r="S115" s="593">
        <v>2</v>
      </c>
      <c r="T115" s="593" t="s">
        <v>391</v>
      </c>
      <c r="U115" s="593" t="s">
        <v>392</v>
      </c>
      <c r="V115" s="593" t="s">
        <v>359</v>
      </c>
      <c r="W115" s="593" t="s">
        <v>360</v>
      </c>
      <c r="X115" s="595" t="s">
        <v>369</v>
      </c>
      <c r="Y115" s="593">
        <v>1</v>
      </c>
      <c r="Z115" s="593">
        <v>1</v>
      </c>
      <c r="AA115" s="594"/>
      <c r="AB115" s="593"/>
      <c r="AC115" s="593"/>
      <c r="AD115" s="593"/>
      <c r="AE115" s="595" t="s">
        <v>450</v>
      </c>
      <c r="AF115" s="596" t="s">
        <v>105</v>
      </c>
      <c r="AG115" s="597">
        <v>64</v>
      </c>
      <c r="AH115" s="597">
        <v>28</v>
      </c>
      <c r="AI115" s="598">
        <v>360</v>
      </c>
      <c r="AJ115" s="598">
        <v>25.92</v>
      </c>
      <c r="AK115" s="598">
        <v>288</v>
      </c>
      <c r="AL115" s="598">
        <v>4.032</v>
      </c>
    </row>
    <row r="116" spans="1:38" x14ac:dyDescent="0.2">
      <c r="A116" s="599" t="s">
        <v>481</v>
      </c>
      <c r="B116" s="599">
        <v>72</v>
      </c>
      <c r="C116" s="599">
        <v>72</v>
      </c>
      <c r="D116" s="599" t="s">
        <v>444</v>
      </c>
      <c r="E116" s="599" t="s">
        <v>457</v>
      </c>
      <c r="F116" s="599"/>
      <c r="G116" s="599" t="s">
        <v>407</v>
      </c>
      <c r="H116" s="606" t="s">
        <v>380</v>
      </c>
      <c r="I116" s="599" t="s">
        <v>358</v>
      </c>
      <c r="J116" s="599"/>
      <c r="K116" s="599">
        <v>17</v>
      </c>
      <c r="L116" s="606">
        <v>34</v>
      </c>
      <c r="M116" s="599"/>
      <c r="N116" s="599"/>
      <c r="O116" s="599" t="s">
        <v>359</v>
      </c>
      <c r="P116" s="599" t="s">
        <v>360</v>
      </c>
      <c r="Q116" s="606" t="s">
        <v>361</v>
      </c>
      <c r="R116" s="599" t="s">
        <v>362</v>
      </c>
      <c r="S116" s="599">
        <v>17</v>
      </c>
      <c r="T116" s="599" t="s">
        <v>408</v>
      </c>
      <c r="U116" s="599" t="s">
        <v>409</v>
      </c>
      <c r="V116" s="599" t="s">
        <v>359</v>
      </c>
      <c r="W116" s="599" t="s">
        <v>360</v>
      </c>
      <c r="X116" s="601" t="s">
        <v>364</v>
      </c>
      <c r="Y116" s="599">
        <v>1</v>
      </c>
      <c r="Z116" s="599">
        <v>1</v>
      </c>
      <c r="AA116" s="600"/>
      <c r="AB116" s="599"/>
      <c r="AC116" s="599"/>
      <c r="AD116" s="599"/>
      <c r="AE116" s="601" t="s">
        <v>370</v>
      </c>
      <c r="AF116" s="602" t="s">
        <v>105</v>
      </c>
      <c r="AG116" s="597">
        <v>64</v>
      </c>
      <c r="AH116" s="597">
        <v>28</v>
      </c>
      <c r="AI116" s="604">
        <v>3650</v>
      </c>
      <c r="AJ116" s="604">
        <v>2233.8000000000002</v>
      </c>
      <c r="AK116" s="604">
        <v>2920</v>
      </c>
      <c r="AL116" s="604">
        <v>347.48</v>
      </c>
    </row>
    <row r="117" spans="1:38" x14ac:dyDescent="0.2">
      <c r="A117" s="593" t="s">
        <v>481</v>
      </c>
      <c r="B117" s="593">
        <v>73</v>
      </c>
      <c r="C117" s="593">
        <v>73</v>
      </c>
      <c r="D117" s="593" t="s">
        <v>444</v>
      </c>
      <c r="E117" s="593" t="s">
        <v>458</v>
      </c>
      <c r="F117" s="593"/>
      <c r="G117" s="593" t="s">
        <v>407</v>
      </c>
      <c r="H117" s="606" t="s">
        <v>380</v>
      </c>
      <c r="I117" s="593" t="s">
        <v>358</v>
      </c>
      <c r="J117" s="593"/>
      <c r="K117" s="593">
        <v>20</v>
      </c>
      <c r="L117" s="606">
        <v>40</v>
      </c>
      <c r="M117" s="593"/>
      <c r="N117" s="593"/>
      <c r="O117" s="593" t="s">
        <v>359</v>
      </c>
      <c r="P117" s="593" t="s">
        <v>360</v>
      </c>
      <c r="Q117" s="606" t="s">
        <v>361</v>
      </c>
      <c r="R117" s="593" t="s">
        <v>362</v>
      </c>
      <c r="S117" s="593">
        <v>20</v>
      </c>
      <c r="T117" s="593" t="s">
        <v>459</v>
      </c>
      <c r="U117" s="593" t="s">
        <v>460</v>
      </c>
      <c r="V117" s="593" t="s">
        <v>359</v>
      </c>
      <c r="W117" s="593" t="s">
        <v>360</v>
      </c>
      <c r="X117" s="595" t="s">
        <v>364</v>
      </c>
      <c r="Y117" s="593">
        <v>1</v>
      </c>
      <c r="Z117" s="593">
        <v>1</v>
      </c>
      <c r="AA117" s="594"/>
      <c r="AB117" s="593"/>
      <c r="AC117" s="593"/>
      <c r="AD117" s="593"/>
      <c r="AE117" s="595" t="s">
        <v>370</v>
      </c>
      <c r="AF117" s="596" t="s">
        <v>105</v>
      </c>
      <c r="AG117" s="597">
        <v>64</v>
      </c>
      <c r="AH117" s="597">
        <v>28</v>
      </c>
      <c r="AI117" s="598">
        <v>3650</v>
      </c>
      <c r="AJ117" s="598">
        <v>2628</v>
      </c>
      <c r="AK117" s="598">
        <v>2920</v>
      </c>
      <c r="AL117" s="598">
        <v>408.8</v>
      </c>
    </row>
    <row r="118" spans="1:38" x14ac:dyDescent="0.2">
      <c r="A118" s="599" t="s">
        <v>481</v>
      </c>
      <c r="B118" s="599">
        <v>74</v>
      </c>
      <c r="C118" s="599">
        <v>74</v>
      </c>
      <c r="D118" s="599" t="s">
        <v>444</v>
      </c>
      <c r="E118" s="599" t="s">
        <v>461</v>
      </c>
      <c r="F118" s="599"/>
      <c r="G118" s="599" t="s">
        <v>407</v>
      </c>
      <c r="H118" s="606" t="s">
        <v>380</v>
      </c>
      <c r="I118" s="599" t="s">
        <v>358</v>
      </c>
      <c r="J118" s="599"/>
      <c r="K118" s="599">
        <v>16</v>
      </c>
      <c r="L118" s="606">
        <v>32</v>
      </c>
      <c r="M118" s="599"/>
      <c r="N118" s="599"/>
      <c r="O118" s="599" t="s">
        <v>359</v>
      </c>
      <c r="P118" s="599" t="s">
        <v>360</v>
      </c>
      <c r="Q118" s="606" t="s">
        <v>361</v>
      </c>
      <c r="R118" s="599" t="s">
        <v>362</v>
      </c>
      <c r="S118" s="599">
        <v>16</v>
      </c>
      <c r="T118" s="599" t="s">
        <v>414</v>
      </c>
      <c r="U118" s="599" t="s">
        <v>415</v>
      </c>
      <c r="V118" s="599" t="s">
        <v>359</v>
      </c>
      <c r="W118" s="599" t="s">
        <v>360</v>
      </c>
      <c r="X118" s="601" t="s">
        <v>364</v>
      </c>
      <c r="Y118" s="599">
        <v>1</v>
      </c>
      <c r="Z118" s="599">
        <v>0</v>
      </c>
      <c r="AA118" s="600"/>
      <c r="AB118" s="599"/>
      <c r="AC118" s="599"/>
      <c r="AD118" s="599"/>
      <c r="AE118" s="601" t="s">
        <v>370</v>
      </c>
      <c r="AF118" s="602" t="s">
        <v>105</v>
      </c>
      <c r="AG118" s="597">
        <v>64</v>
      </c>
      <c r="AH118" s="597">
        <v>28</v>
      </c>
      <c r="AI118" s="604">
        <v>3650</v>
      </c>
      <c r="AJ118" s="604">
        <v>2102.4</v>
      </c>
      <c r="AK118" s="604">
        <v>2920</v>
      </c>
      <c r="AL118" s="604">
        <v>327.04000000000002</v>
      </c>
    </row>
    <row r="119" spans="1:38" x14ac:dyDescent="0.2">
      <c r="A119" s="599" t="s">
        <v>481</v>
      </c>
      <c r="B119" s="599">
        <v>76</v>
      </c>
      <c r="C119" s="599">
        <v>76</v>
      </c>
      <c r="D119" s="599" t="s">
        <v>444</v>
      </c>
      <c r="E119" s="599" t="s">
        <v>462</v>
      </c>
      <c r="F119" s="599"/>
      <c r="G119" s="599" t="s">
        <v>407</v>
      </c>
      <c r="H119" s="606" t="s">
        <v>380</v>
      </c>
      <c r="I119" s="599" t="s">
        <v>358</v>
      </c>
      <c r="J119" s="599"/>
      <c r="K119" s="599">
        <v>16</v>
      </c>
      <c r="L119" s="606">
        <v>32</v>
      </c>
      <c r="M119" s="599"/>
      <c r="N119" s="599"/>
      <c r="O119" s="599" t="s">
        <v>359</v>
      </c>
      <c r="P119" s="599" t="s">
        <v>360</v>
      </c>
      <c r="Q119" s="606" t="s">
        <v>361</v>
      </c>
      <c r="R119" s="599" t="s">
        <v>362</v>
      </c>
      <c r="S119" s="599">
        <v>16</v>
      </c>
      <c r="T119" s="599" t="s">
        <v>414</v>
      </c>
      <c r="U119" s="599" t="s">
        <v>415</v>
      </c>
      <c r="V119" s="599" t="s">
        <v>359</v>
      </c>
      <c r="W119" s="599" t="s">
        <v>360</v>
      </c>
      <c r="X119" s="601" t="s">
        <v>364</v>
      </c>
      <c r="Y119" s="599">
        <v>1</v>
      </c>
      <c r="Z119" s="599">
        <v>1</v>
      </c>
      <c r="AA119" s="600"/>
      <c r="AB119" s="599"/>
      <c r="AC119" s="599"/>
      <c r="AD119" s="599"/>
      <c r="AE119" s="601" t="s">
        <v>370</v>
      </c>
      <c r="AF119" s="602" t="s">
        <v>105</v>
      </c>
      <c r="AG119" s="597">
        <v>64</v>
      </c>
      <c r="AH119" s="597">
        <v>28</v>
      </c>
      <c r="AI119" s="604">
        <v>3650</v>
      </c>
      <c r="AJ119" s="604">
        <v>2102.4</v>
      </c>
      <c r="AK119" s="604">
        <v>2920</v>
      </c>
      <c r="AL119" s="604">
        <v>327.04000000000002</v>
      </c>
    </row>
    <row r="120" spans="1:38" x14ac:dyDescent="0.2">
      <c r="A120" s="593" t="s">
        <v>481</v>
      </c>
      <c r="B120" s="593">
        <v>79</v>
      </c>
      <c r="C120" s="593">
        <v>79</v>
      </c>
      <c r="D120" s="593" t="s">
        <v>85</v>
      </c>
      <c r="E120" s="593" t="s">
        <v>463</v>
      </c>
      <c r="F120" s="593"/>
      <c r="G120" s="593" t="s">
        <v>379</v>
      </c>
      <c r="H120" s="606" t="s">
        <v>380</v>
      </c>
      <c r="I120" s="593" t="s">
        <v>358</v>
      </c>
      <c r="J120" s="593"/>
      <c r="K120" s="593">
        <v>12</v>
      </c>
      <c r="L120" s="606">
        <v>24</v>
      </c>
      <c r="M120" s="593"/>
      <c r="N120" s="593"/>
      <c r="O120" s="593" t="s">
        <v>359</v>
      </c>
      <c r="P120" s="593" t="s">
        <v>360</v>
      </c>
      <c r="Q120" s="606" t="s">
        <v>361</v>
      </c>
      <c r="R120" s="593" t="s">
        <v>362</v>
      </c>
      <c r="S120" s="593">
        <v>12</v>
      </c>
      <c r="T120" s="593" t="s">
        <v>439</v>
      </c>
      <c r="U120" s="593" t="s">
        <v>440</v>
      </c>
      <c r="V120" s="593" t="s">
        <v>359</v>
      </c>
      <c r="W120" s="593" t="s">
        <v>360</v>
      </c>
      <c r="X120" s="595" t="s">
        <v>364</v>
      </c>
      <c r="Y120" s="593">
        <v>1</v>
      </c>
      <c r="Z120" s="593">
        <v>1</v>
      </c>
      <c r="AA120" s="594"/>
      <c r="AB120" s="593"/>
      <c r="AC120" s="593"/>
      <c r="AD120" s="593"/>
      <c r="AE120" s="595" t="s">
        <v>365</v>
      </c>
      <c r="AF120" s="596" t="s">
        <v>105</v>
      </c>
      <c r="AG120" s="597">
        <v>64</v>
      </c>
      <c r="AH120" s="597">
        <v>28</v>
      </c>
      <c r="AI120" s="598">
        <v>2160</v>
      </c>
      <c r="AJ120" s="598">
        <v>933.12</v>
      </c>
      <c r="AK120" s="598">
        <v>1728</v>
      </c>
      <c r="AL120" s="598">
        <v>145.15199999999999</v>
      </c>
    </row>
    <row r="121" spans="1:38" x14ac:dyDescent="0.2">
      <c r="A121" s="593" t="s">
        <v>481</v>
      </c>
      <c r="B121" s="593">
        <v>81</v>
      </c>
      <c r="C121" s="593">
        <v>81</v>
      </c>
      <c r="D121" s="593" t="s">
        <v>85</v>
      </c>
      <c r="E121" s="593" t="s">
        <v>464</v>
      </c>
      <c r="F121" s="593"/>
      <c r="G121" s="593" t="s">
        <v>407</v>
      </c>
      <c r="H121" s="606" t="s">
        <v>380</v>
      </c>
      <c r="I121" s="593" t="s">
        <v>358</v>
      </c>
      <c r="J121" s="593"/>
      <c r="K121" s="593">
        <v>12</v>
      </c>
      <c r="L121" s="606">
        <v>24</v>
      </c>
      <c r="M121" s="593"/>
      <c r="N121" s="593"/>
      <c r="O121" s="593" t="s">
        <v>359</v>
      </c>
      <c r="P121" s="593" t="s">
        <v>360</v>
      </c>
      <c r="Q121" s="606" t="s">
        <v>361</v>
      </c>
      <c r="R121" s="593" t="s">
        <v>362</v>
      </c>
      <c r="S121" s="593">
        <v>12</v>
      </c>
      <c r="T121" s="593" t="s">
        <v>439</v>
      </c>
      <c r="U121" s="593" t="s">
        <v>440</v>
      </c>
      <c r="V121" s="593" t="s">
        <v>359</v>
      </c>
      <c r="W121" s="593" t="s">
        <v>360</v>
      </c>
      <c r="X121" s="595" t="s">
        <v>364</v>
      </c>
      <c r="Y121" s="593">
        <v>1</v>
      </c>
      <c r="Z121" s="593">
        <v>1</v>
      </c>
      <c r="AA121" s="594"/>
      <c r="AB121" s="593"/>
      <c r="AC121" s="593"/>
      <c r="AD121" s="593"/>
      <c r="AE121" s="595" t="s">
        <v>365</v>
      </c>
      <c r="AF121" s="596" t="s">
        <v>105</v>
      </c>
      <c r="AG121" s="597">
        <v>64</v>
      </c>
      <c r="AH121" s="597">
        <v>28</v>
      </c>
      <c r="AI121" s="598">
        <v>3650</v>
      </c>
      <c r="AJ121" s="598">
        <v>1576.8</v>
      </c>
      <c r="AK121" s="598">
        <v>2920</v>
      </c>
      <c r="AL121" s="598">
        <v>245.28</v>
      </c>
    </row>
    <row r="122" spans="1:38" x14ac:dyDescent="0.2">
      <c r="A122" s="593" t="s">
        <v>481</v>
      </c>
      <c r="B122" s="593">
        <v>83</v>
      </c>
      <c r="C122" s="593">
        <v>83</v>
      </c>
      <c r="D122" s="593" t="s">
        <v>85</v>
      </c>
      <c r="E122" s="593" t="s">
        <v>465</v>
      </c>
      <c r="F122" s="593"/>
      <c r="G122" s="593" t="s">
        <v>407</v>
      </c>
      <c r="H122" s="606" t="s">
        <v>380</v>
      </c>
      <c r="I122" s="593" t="s">
        <v>358</v>
      </c>
      <c r="J122" s="593"/>
      <c r="K122" s="593">
        <v>12</v>
      </c>
      <c r="L122" s="606">
        <v>24</v>
      </c>
      <c r="M122" s="593"/>
      <c r="N122" s="593"/>
      <c r="O122" s="593" t="s">
        <v>359</v>
      </c>
      <c r="P122" s="593" t="s">
        <v>360</v>
      </c>
      <c r="Q122" s="606" t="s">
        <v>361</v>
      </c>
      <c r="R122" s="593" t="s">
        <v>362</v>
      </c>
      <c r="S122" s="593">
        <v>12</v>
      </c>
      <c r="T122" s="593" t="s">
        <v>439</v>
      </c>
      <c r="U122" s="593" t="s">
        <v>440</v>
      </c>
      <c r="V122" s="593" t="s">
        <v>359</v>
      </c>
      <c r="W122" s="593" t="s">
        <v>360</v>
      </c>
      <c r="X122" s="595" t="s">
        <v>364</v>
      </c>
      <c r="Y122" s="593">
        <v>1</v>
      </c>
      <c r="Z122" s="593">
        <v>1</v>
      </c>
      <c r="AA122" s="594"/>
      <c r="AB122" s="593"/>
      <c r="AC122" s="593"/>
      <c r="AD122" s="593"/>
      <c r="AE122" s="595" t="s">
        <v>365</v>
      </c>
      <c r="AF122" s="596" t="s">
        <v>105</v>
      </c>
      <c r="AG122" s="597">
        <v>64</v>
      </c>
      <c r="AH122" s="597">
        <v>28</v>
      </c>
      <c r="AI122" s="598">
        <v>3650</v>
      </c>
      <c r="AJ122" s="598">
        <v>1576.8</v>
      </c>
      <c r="AK122" s="598">
        <v>2920</v>
      </c>
      <c r="AL122" s="598">
        <v>245.28</v>
      </c>
    </row>
    <row r="123" spans="1:38" x14ac:dyDescent="0.2">
      <c r="A123" s="593" t="s">
        <v>481</v>
      </c>
      <c r="B123" s="593">
        <v>85</v>
      </c>
      <c r="C123" s="593">
        <v>85</v>
      </c>
      <c r="D123" s="593" t="s">
        <v>85</v>
      </c>
      <c r="E123" s="593" t="s">
        <v>466</v>
      </c>
      <c r="F123" s="593"/>
      <c r="G123" s="593" t="s">
        <v>407</v>
      </c>
      <c r="H123" s="606" t="s">
        <v>380</v>
      </c>
      <c r="I123" s="593" t="s">
        <v>358</v>
      </c>
      <c r="J123" s="593"/>
      <c r="K123" s="593">
        <v>10</v>
      </c>
      <c r="L123" s="606">
        <v>20</v>
      </c>
      <c r="M123" s="593"/>
      <c r="N123" s="593"/>
      <c r="O123" s="593" t="s">
        <v>359</v>
      </c>
      <c r="P123" s="593" t="s">
        <v>360</v>
      </c>
      <c r="Q123" s="606" t="s">
        <v>361</v>
      </c>
      <c r="R123" s="593" t="s">
        <v>362</v>
      </c>
      <c r="S123" s="593">
        <v>10</v>
      </c>
      <c r="T123" s="593" t="s">
        <v>424</v>
      </c>
      <c r="U123" s="593" t="s">
        <v>425</v>
      </c>
      <c r="V123" s="593" t="s">
        <v>359</v>
      </c>
      <c r="W123" s="593" t="s">
        <v>360</v>
      </c>
      <c r="X123" s="595" t="s">
        <v>364</v>
      </c>
      <c r="Y123" s="593">
        <v>1</v>
      </c>
      <c r="Z123" s="593">
        <v>1</v>
      </c>
      <c r="AA123" s="594"/>
      <c r="AB123" s="593"/>
      <c r="AC123" s="593"/>
      <c r="AD123" s="593"/>
      <c r="AE123" s="595" t="s">
        <v>467</v>
      </c>
      <c r="AF123" s="596" t="s">
        <v>105</v>
      </c>
      <c r="AG123" s="597">
        <v>64</v>
      </c>
      <c r="AH123" s="597">
        <v>28</v>
      </c>
      <c r="AI123" s="598">
        <v>3650</v>
      </c>
      <c r="AJ123" s="598">
        <v>1314</v>
      </c>
      <c r="AK123" s="598">
        <v>2920</v>
      </c>
      <c r="AL123" s="598">
        <v>204.4</v>
      </c>
    </row>
    <row r="124" spans="1:38" x14ac:dyDescent="0.2">
      <c r="A124" s="593" t="s">
        <v>481</v>
      </c>
      <c r="B124" s="593">
        <v>87</v>
      </c>
      <c r="C124" s="593">
        <v>87</v>
      </c>
      <c r="D124" s="593" t="s">
        <v>85</v>
      </c>
      <c r="E124" s="593" t="s">
        <v>468</v>
      </c>
      <c r="F124" s="593"/>
      <c r="G124" s="593" t="s">
        <v>407</v>
      </c>
      <c r="H124" s="606" t="s">
        <v>380</v>
      </c>
      <c r="I124" s="593" t="s">
        <v>358</v>
      </c>
      <c r="J124" s="593"/>
      <c r="K124" s="593">
        <v>10</v>
      </c>
      <c r="L124" s="606">
        <v>20</v>
      </c>
      <c r="M124" s="593"/>
      <c r="N124" s="593"/>
      <c r="O124" s="593" t="s">
        <v>359</v>
      </c>
      <c r="P124" s="593" t="s">
        <v>360</v>
      </c>
      <c r="Q124" s="606" t="s">
        <v>361</v>
      </c>
      <c r="R124" s="593" t="s">
        <v>362</v>
      </c>
      <c r="S124" s="593">
        <v>10</v>
      </c>
      <c r="T124" s="593" t="s">
        <v>424</v>
      </c>
      <c r="U124" s="593" t="s">
        <v>425</v>
      </c>
      <c r="V124" s="593" t="s">
        <v>359</v>
      </c>
      <c r="W124" s="593" t="s">
        <v>360</v>
      </c>
      <c r="X124" s="595" t="s">
        <v>364</v>
      </c>
      <c r="Y124" s="593">
        <v>1</v>
      </c>
      <c r="Z124" s="593">
        <v>1</v>
      </c>
      <c r="AA124" s="594"/>
      <c r="AB124" s="593"/>
      <c r="AC124" s="593"/>
      <c r="AD124" s="593"/>
      <c r="AE124" s="595" t="s">
        <v>467</v>
      </c>
      <c r="AF124" s="596" t="s">
        <v>105</v>
      </c>
      <c r="AG124" s="597">
        <v>64</v>
      </c>
      <c r="AH124" s="597">
        <v>28</v>
      </c>
      <c r="AI124" s="598">
        <v>3650</v>
      </c>
      <c r="AJ124" s="598">
        <v>1314</v>
      </c>
      <c r="AK124" s="598">
        <v>2920</v>
      </c>
      <c r="AL124" s="598">
        <v>204.4</v>
      </c>
    </row>
    <row r="125" spans="1:38" x14ac:dyDescent="0.2">
      <c r="A125" s="593" t="s">
        <v>481</v>
      </c>
      <c r="B125" s="593">
        <v>89</v>
      </c>
      <c r="C125" s="593">
        <v>89</v>
      </c>
      <c r="D125" s="593" t="s">
        <v>85</v>
      </c>
      <c r="E125" s="593" t="s">
        <v>469</v>
      </c>
      <c r="F125" s="593"/>
      <c r="G125" s="593" t="s">
        <v>407</v>
      </c>
      <c r="H125" s="606" t="s">
        <v>380</v>
      </c>
      <c r="I125" s="593" t="s">
        <v>358</v>
      </c>
      <c r="J125" s="593"/>
      <c r="K125" s="593">
        <v>12</v>
      </c>
      <c r="L125" s="606">
        <v>24</v>
      </c>
      <c r="M125" s="593"/>
      <c r="N125" s="593"/>
      <c r="O125" s="593" t="s">
        <v>359</v>
      </c>
      <c r="P125" s="593" t="s">
        <v>360</v>
      </c>
      <c r="Q125" s="606" t="s">
        <v>361</v>
      </c>
      <c r="R125" s="593" t="s">
        <v>362</v>
      </c>
      <c r="S125" s="593">
        <v>12</v>
      </c>
      <c r="T125" s="593" t="s">
        <v>439</v>
      </c>
      <c r="U125" s="593" t="s">
        <v>440</v>
      </c>
      <c r="V125" s="593" t="s">
        <v>359</v>
      </c>
      <c r="W125" s="593" t="s">
        <v>360</v>
      </c>
      <c r="X125" s="595" t="s">
        <v>364</v>
      </c>
      <c r="Y125" s="593">
        <v>1</v>
      </c>
      <c r="Z125" s="593">
        <v>1</v>
      </c>
      <c r="AA125" s="594"/>
      <c r="AB125" s="593"/>
      <c r="AC125" s="593"/>
      <c r="AD125" s="593"/>
      <c r="AE125" s="595" t="s">
        <v>365</v>
      </c>
      <c r="AF125" s="596" t="s">
        <v>105</v>
      </c>
      <c r="AG125" s="597">
        <v>64</v>
      </c>
      <c r="AH125" s="597">
        <v>28</v>
      </c>
      <c r="AI125" s="598">
        <v>3650</v>
      </c>
      <c r="AJ125" s="598">
        <v>1576.8</v>
      </c>
      <c r="AK125" s="598">
        <v>2920</v>
      </c>
      <c r="AL125" s="598">
        <v>245.28</v>
      </c>
    </row>
    <row r="126" spans="1:38" x14ac:dyDescent="0.2">
      <c r="A126" s="599" t="s">
        <v>481</v>
      </c>
      <c r="B126" s="599">
        <v>92</v>
      </c>
      <c r="C126" s="599">
        <v>92</v>
      </c>
      <c r="D126" s="599" t="s">
        <v>470</v>
      </c>
      <c r="E126" s="599" t="s">
        <v>470</v>
      </c>
      <c r="F126" s="599"/>
      <c r="G126" s="599" t="s">
        <v>470</v>
      </c>
      <c r="H126" s="606" t="s">
        <v>380</v>
      </c>
      <c r="I126" s="599" t="s">
        <v>368</v>
      </c>
      <c r="J126" s="599"/>
      <c r="K126" s="599">
        <v>24</v>
      </c>
      <c r="L126" s="606">
        <v>48</v>
      </c>
      <c r="M126" s="599"/>
      <c r="N126" s="599"/>
      <c r="O126" s="599" t="s">
        <v>359</v>
      </c>
      <c r="P126" s="599" t="s">
        <v>360</v>
      </c>
      <c r="Q126" s="606" t="s">
        <v>361</v>
      </c>
      <c r="R126" s="599" t="s">
        <v>362</v>
      </c>
      <c r="S126" s="599">
        <v>24</v>
      </c>
      <c r="T126" s="599" t="s">
        <v>471</v>
      </c>
      <c r="U126" s="599" t="s">
        <v>472</v>
      </c>
      <c r="V126" s="599" t="s">
        <v>359</v>
      </c>
      <c r="W126" s="599" t="s">
        <v>360</v>
      </c>
      <c r="X126" s="601" t="s">
        <v>364</v>
      </c>
      <c r="Y126" s="599">
        <v>1</v>
      </c>
      <c r="Z126" s="599">
        <v>1</v>
      </c>
      <c r="AA126" s="600"/>
      <c r="AB126" s="599"/>
      <c r="AC126" s="599"/>
      <c r="AD126" s="599"/>
      <c r="AE126" s="601" t="s">
        <v>450</v>
      </c>
      <c r="AF126" s="602" t="s">
        <v>105</v>
      </c>
      <c r="AG126" s="597">
        <v>64</v>
      </c>
      <c r="AH126" s="597">
        <v>28</v>
      </c>
      <c r="AI126" s="604">
        <v>2160</v>
      </c>
      <c r="AJ126" s="604">
        <v>1866.24</v>
      </c>
      <c r="AK126" s="604">
        <v>1728</v>
      </c>
      <c r="AL126" s="604">
        <v>290.30399999999997</v>
      </c>
    </row>
    <row r="127" spans="1:38" x14ac:dyDescent="0.2">
      <c r="A127" s="599" t="s">
        <v>481</v>
      </c>
      <c r="B127" s="599">
        <v>94</v>
      </c>
      <c r="C127" s="599">
        <v>94</v>
      </c>
      <c r="D127" s="599" t="s">
        <v>473</v>
      </c>
      <c r="E127" s="599" t="s">
        <v>473</v>
      </c>
      <c r="F127" s="599"/>
      <c r="G127" s="599" t="s">
        <v>473</v>
      </c>
      <c r="H127" s="606" t="s">
        <v>380</v>
      </c>
      <c r="I127" s="599" t="s">
        <v>368</v>
      </c>
      <c r="J127" s="599"/>
      <c r="K127" s="599">
        <v>24</v>
      </c>
      <c r="L127" s="606">
        <v>48</v>
      </c>
      <c r="M127" s="599"/>
      <c r="N127" s="599"/>
      <c r="O127" s="599" t="s">
        <v>359</v>
      </c>
      <c r="P127" s="599" t="s">
        <v>360</v>
      </c>
      <c r="Q127" s="606" t="s">
        <v>361</v>
      </c>
      <c r="R127" s="599" t="s">
        <v>362</v>
      </c>
      <c r="S127" s="599">
        <v>24</v>
      </c>
      <c r="T127" s="599" t="s">
        <v>471</v>
      </c>
      <c r="U127" s="599" t="s">
        <v>472</v>
      </c>
      <c r="V127" s="599" t="s">
        <v>359</v>
      </c>
      <c r="W127" s="599" t="s">
        <v>360</v>
      </c>
      <c r="X127" s="601"/>
      <c r="Y127" s="599"/>
      <c r="Z127" s="599"/>
      <c r="AA127" s="600"/>
      <c r="AB127" s="599"/>
      <c r="AC127" s="599"/>
      <c r="AD127" s="599"/>
      <c r="AE127" s="601" t="s">
        <v>474</v>
      </c>
      <c r="AF127" s="602" t="s">
        <v>105</v>
      </c>
      <c r="AG127" s="597">
        <v>64</v>
      </c>
      <c r="AH127" s="597">
        <v>28</v>
      </c>
      <c r="AI127" s="604">
        <v>2160</v>
      </c>
      <c r="AJ127" s="604">
        <v>1866.24</v>
      </c>
      <c r="AK127" s="604">
        <v>2160</v>
      </c>
      <c r="AL127" s="604">
        <v>0</v>
      </c>
    </row>
    <row r="128" spans="1:38" x14ac:dyDescent="0.2">
      <c r="A128" s="599" t="s">
        <v>481</v>
      </c>
      <c r="B128" s="599">
        <v>98</v>
      </c>
      <c r="C128" s="599">
        <v>98</v>
      </c>
      <c r="D128" s="599" t="s">
        <v>85</v>
      </c>
      <c r="E128" s="599" t="s">
        <v>475</v>
      </c>
      <c r="F128" s="599"/>
      <c r="G128" s="599" t="s">
        <v>407</v>
      </c>
      <c r="H128" s="606" t="s">
        <v>380</v>
      </c>
      <c r="I128" s="599" t="s">
        <v>358</v>
      </c>
      <c r="J128" s="599"/>
      <c r="K128" s="599">
        <v>12</v>
      </c>
      <c r="L128" s="606">
        <v>24</v>
      </c>
      <c r="M128" s="599"/>
      <c r="N128" s="599"/>
      <c r="O128" s="599" t="s">
        <v>359</v>
      </c>
      <c r="P128" s="599" t="s">
        <v>360</v>
      </c>
      <c r="Q128" s="606" t="s">
        <v>361</v>
      </c>
      <c r="R128" s="599" t="s">
        <v>362</v>
      </c>
      <c r="S128" s="599">
        <v>12</v>
      </c>
      <c r="T128" s="599" t="s">
        <v>439</v>
      </c>
      <c r="U128" s="599" t="s">
        <v>440</v>
      </c>
      <c r="V128" s="599" t="s">
        <v>359</v>
      </c>
      <c r="W128" s="599" t="s">
        <v>360</v>
      </c>
      <c r="X128" s="601" t="s">
        <v>364</v>
      </c>
      <c r="Y128" s="599">
        <v>1</v>
      </c>
      <c r="Z128" s="599">
        <v>1</v>
      </c>
      <c r="AA128" s="600"/>
      <c r="AB128" s="599"/>
      <c r="AC128" s="599"/>
      <c r="AD128" s="599"/>
      <c r="AE128" s="601" t="s">
        <v>370</v>
      </c>
      <c r="AF128" s="602" t="s">
        <v>105</v>
      </c>
      <c r="AG128" s="597">
        <v>64</v>
      </c>
      <c r="AH128" s="597">
        <v>28</v>
      </c>
      <c r="AI128" s="604">
        <v>3650</v>
      </c>
      <c r="AJ128" s="604">
        <v>1576.8</v>
      </c>
      <c r="AK128" s="604">
        <v>2920</v>
      </c>
      <c r="AL128" s="604">
        <v>245.28</v>
      </c>
    </row>
    <row r="129" spans="1:38" x14ac:dyDescent="0.2">
      <c r="A129" s="599" t="s">
        <v>481</v>
      </c>
      <c r="B129" s="599">
        <v>100</v>
      </c>
      <c r="C129" s="599">
        <v>100</v>
      </c>
      <c r="D129" s="599" t="s">
        <v>85</v>
      </c>
      <c r="E129" s="599" t="s">
        <v>476</v>
      </c>
      <c r="F129" s="599"/>
      <c r="G129" s="599" t="s">
        <v>407</v>
      </c>
      <c r="H129" s="606" t="s">
        <v>380</v>
      </c>
      <c r="I129" s="599" t="s">
        <v>358</v>
      </c>
      <c r="J129" s="599"/>
      <c r="K129" s="599">
        <v>12</v>
      </c>
      <c r="L129" s="606">
        <v>24</v>
      </c>
      <c r="M129" s="599"/>
      <c r="N129" s="599"/>
      <c r="O129" s="599" t="s">
        <v>359</v>
      </c>
      <c r="P129" s="599" t="s">
        <v>360</v>
      </c>
      <c r="Q129" s="606" t="s">
        <v>361</v>
      </c>
      <c r="R129" s="599" t="s">
        <v>362</v>
      </c>
      <c r="S129" s="599">
        <v>12</v>
      </c>
      <c r="T129" s="599" t="s">
        <v>439</v>
      </c>
      <c r="U129" s="599" t="s">
        <v>440</v>
      </c>
      <c r="V129" s="599" t="s">
        <v>359</v>
      </c>
      <c r="W129" s="599" t="s">
        <v>360</v>
      </c>
      <c r="X129" s="601" t="s">
        <v>364</v>
      </c>
      <c r="Y129" s="599">
        <v>1</v>
      </c>
      <c r="Z129" s="599">
        <v>1</v>
      </c>
      <c r="AA129" s="600"/>
      <c r="AB129" s="599"/>
      <c r="AC129" s="599"/>
      <c r="AD129" s="599"/>
      <c r="AE129" s="601" t="s">
        <v>370</v>
      </c>
      <c r="AF129" s="602" t="s">
        <v>105</v>
      </c>
      <c r="AG129" s="597">
        <v>64</v>
      </c>
      <c r="AH129" s="597">
        <v>28</v>
      </c>
      <c r="AI129" s="604">
        <v>3650</v>
      </c>
      <c r="AJ129" s="604">
        <v>1576.8</v>
      </c>
      <c r="AK129" s="604">
        <v>2920</v>
      </c>
      <c r="AL129" s="604">
        <v>245.28</v>
      </c>
    </row>
    <row r="130" spans="1:38" ht="13.5" thickBot="1" x14ac:dyDescent="0.25">
      <c r="A130" s="599" t="s">
        <v>481</v>
      </c>
      <c r="B130" s="599">
        <v>96</v>
      </c>
      <c r="C130" s="599">
        <v>96</v>
      </c>
      <c r="D130" s="599" t="s">
        <v>85</v>
      </c>
      <c r="E130" s="599" t="s">
        <v>477</v>
      </c>
      <c r="F130" s="599"/>
      <c r="G130" s="599" t="s">
        <v>407</v>
      </c>
      <c r="H130" s="606" t="s">
        <v>478</v>
      </c>
      <c r="I130" s="599" t="s">
        <v>358</v>
      </c>
      <c r="J130" s="599"/>
      <c r="K130" s="599">
        <v>12</v>
      </c>
      <c r="L130" s="591">
        <v>48</v>
      </c>
      <c r="M130" s="599"/>
      <c r="N130" s="599"/>
      <c r="O130" s="599" t="s">
        <v>359</v>
      </c>
      <c r="P130" s="599" t="s">
        <v>360</v>
      </c>
      <c r="Q130" s="606" t="s">
        <v>361</v>
      </c>
      <c r="R130" s="599" t="s">
        <v>362</v>
      </c>
      <c r="S130" s="599">
        <v>12</v>
      </c>
      <c r="T130" s="599" t="s">
        <v>471</v>
      </c>
      <c r="U130" s="599" t="s">
        <v>479</v>
      </c>
      <c r="V130" s="599" t="s">
        <v>359</v>
      </c>
      <c r="W130" s="599" t="s">
        <v>360</v>
      </c>
      <c r="X130" s="601" t="s">
        <v>364</v>
      </c>
      <c r="Y130" s="599">
        <v>1</v>
      </c>
      <c r="Z130" s="599">
        <v>2</v>
      </c>
      <c r="AA130" s="600"/>
      <c r="AB130" s="599"/>
      <c r="AC130" s="599"/>
      <c r="AD130" s="599"/>
      <c r="AE130" s="601" t="s">
        <v>370</v>
      </c>
      <c r="AF130" s="602" t="s">
        <v>105</v>
      </c>
      <c r="AG130" s="603">
        <v>128</v>
      </c>
      <c r="AH130" s="597">
        <v>28</v>
      </c>
      <c r="AI130" s="604">
        <v>3650</v>
      </c>
      <c r="AJ130" s="604">
        <v>4380</v>
      </c>
      <c r="AK130" s="604">
        <v>2920</v>
      </c>
      <c r="AL130" s="604">
        <v>245.28</v>
      </c>
    </row>
    <row r="131" spans="1:38" ht="13.5" thickTop="1" x14ac:dyDescent="0.2">
      <c r="A131" s="599"/>
      <c r="B131" s="599"/>
      <c r="C131" s="599"/>
      <c r="D131" s="599"/>
      <c r="E131" s="599"/>
      <c r="F131" s="599"/>
      <c r="G131" s="599"/>
      <c r="H131" s="599"/>
      <c r="I131" s="599"/>
      <c r="J131" s="599"/>
      <c r="K131" s="599"/>
      <c r="L131" s="663">
        <v>1508</v>
      </c>
      <c r="M131" s="599"/>
      <c r="N131" s="599"/>
      <c r="O131" s="599"/>
      <c r="P131" s="599"/>
      <c r="Q131" s="599"/>
      <c r="R131" s="599"/>
      <c r="S131" s="599">
        <v>742</v>
      </c>
      <c r="T131" s="599"/>
      <c r="U131" s="599"/>
      <c r="V131" s="599"/>
      <c r="W131" s="599"/>
      <c r="X131" s="601"/>
      <c r="Y131" s="599"/>
      <c r="Z131" s="599"/>
      <c r="AA131" s="600"/>
      <c r="AB131" s="599"/>
      <c r="AC131" s="599"/>
      <c r="AD131" s="599"/>
      <c r="AE131" s="601"/>
      <c r="AF131" s="602"/>
      <c r="AG131" s="603"/>
      <c r="AH131" s="603"/>
      <c r="AI131" s="604">
        <v>179380</v>
      </c>
      <c r="AJ131" s="604"/>
      <c r="AK131" s="604"/>
      <c r="AL131" s="604"/>
    </row>
    <row r="134" spans="1:38" ht="51.75" thickBot="1" x14ac:dyDescent="0.3">
      <c r="A134" s="634" t="s">
        <v>124</v>
      </c>
      <c r="B134" s="634" t="s">
        <v>327</v>
      </c>
      <c r="C134" s="634" t="s">
        <v>328</v>
      </c>
      <c r="D134" s="634" t="s">
        <v>329</v>
      </c>
      <c r="E134" s="634" t="s">
        <v>330</v>
      </c>
      <c r="F134" s="634" t="s">
        <v>331</v>
      </c>
      <c r="G134" s="634" t="s">
        <v>332</v>
      </c>
      <c r="H134" s="665" t="s">
        <v>333</v>
      </c>
      <c r="I134" s="634" t="s">
        <v>334</v>
      </c>
      <c r="J134" s="634" t="s">
        <v>335</v>
      </c>
      <c r="K134" s="634" t="s">
        <v>336</v>
      </c>
      <c r="L134" s="665" t="s">
        <v>201</v>
      </c>
      <c r="M134" s="634" t="s">
        <v>337</v>
      </c>
      <c r="N134" s="634" t="s">
        <v>338</v>
      </c>
      <c r="O134" s="634" t="s">
        <v>339</v>
      </c>
      <c r="P134" s="634" t="s">
        <v>340</v>
      </c>
      <c r="Q134" s="634" t="s">
        <v>341</v>
      </c>
      <c r="R134" s="634" t="s">
        <v>342</v>
      </c>
      <c r="S134" s="634" t="s">
        <v>343</v>
      </c>
      <c r="T134" s="634" t="s">
        <v>344</v>
      </c>
      <c r="U134" s="634" t="s">
        <v>482</v>
      </c>
      <c r="V134" s="634" t="s">
        <v>346</v>
      </c>
      <c r="W134" s="634" t="s">
        <v>347</v>
      </c>
      <c r="X134" s="634" t="s">
        <v>348</v>
      </c>
      <c r="Y134" s="634" t="s">
        <v>349</v>
      </c>
      <c r="Z134" s="634" t="s">
        <v>350</v>
      </c>
      <c r="AA134" s="634" t="s">
        <v>351</v>
      </c>
      <c r="AB134" s="634" t="s">
        <v>352</v>
      </c>
      <c r="AC134" s="634" t="s">
        <v>353</v>
      </c>
      <c r="AD134" s="634" t="s">
        <v>179</v>
      </c>
      <c r="AE134" s="634" t="s">
        <v>354</v>
      </c>
      <c r="AF134" s="634" t="s">
        <v>355</v>
      </c>
      <c r="AG134" s="634" t="s">
        <v>356</v>
      </c>
      <c r="AH134" s="634" t="s">
        <v>278</v>
      </c>
      <c r="AI134" s="634" t="s">
        <v>279</v>
      </c>
      <c r="AJ134" s="634" t="s">
        <v>280</v>
      </c>
      <c r="AK134" s="634" t="s">
        <v>281</v>
      </c>
      <c r="AL134" s="634" t="s">
        <v>282</v>
      </c>
    </row>
    <row r="135" spans="1:38" ht="13.5" thickTop="1" x14ac:dyDescent="0.2">
      <c r="A135" s="635" t="s">
        <v>125</v>
      </c>
      <c r="B135" s="635">
        <v>1</v>
      </c>
      <c r="C135" s="635">
        <v>1</v>
      </c>
      <c r="D135" s="635" t="s">
        <v>400</v>
      </c>
      <c r="E135" s="635" t="s">
        <v>400</v>
      </c>
      <c r="F135" s="635"/>
      <c r="G135" s="635" t="s">
        <v>483</v>
      </c>
      <c r="H135" s="664" t="s">
        <v>380</v>
      </c>
      <c r="I135" s="635" t="s">
        <v>484</v>
      </c>
      <c r="J135" s="635"/>
      <c r="K135" s="635">
        <v>20</v>
      </c>
      <c r="L135" s="664">
        <v>40</v>
      </c>
      <c r="M135" s="635"/>
      <c r="N135" s="635"/>
      <c r="O135" s="635" t="s">
        <v>359</v>
      </c>
      <c r="P135" s="635" t="s">
        <v>360</v>
      </c>
      <c r="Q135" s="664" t="s">
        <v>361</v>
      </c>
      <c r="R135" s="635" t="s">
        <v>362</v>
      </c>
      <c r="S135" s="635">
        <v>20</v>
      </c>
      <c r="T135" s="635" t="s">
        <v>459</v>
      </c>
      <c r="U135" s="635" t="s">
        <v>460</v>
      </c>
      <c r="V135" s="635" t="s">
        <v>359</v>
      </c>
      <c r="W135" s="635" t="s">
        <v>360</v>
      </c>
      <c r="X135" s="651"/>
      <c r="Y135" s="650"/>
      <c r="Z135" s="650"/>
      <c r="AA135" s="636"/>
      <c r="AB135" s="635"/>
      <c r="AC135" s="635"/>
      <c r="AD135" s="635"/>
      <c r="AE135" s="637" t="s">
        <v>485</v>
      </c>
      <c r="AF135" s="638" t="s">
        <v>105</v>
      </c>
      <c r="AG135" s="646">
        <v>64</v>
      </c>
      <c r="AH135" s="646">
        <v>48</v>
      </c>
      <c r="AI135" s="647">
        <v>2400</v>
      </c>
      <c r="AJ135" s="639">
        <v>768</v>
      </c>
      <c r="AK135" s="647">
        <v>2400</v>
      </c>
      <c r="AL135" s="639">
        <v>0</v>
      </c>
    </row>
    <row r="136" spans="1:38" x14ac:dyDescent="0.2">
      <c r="A136" s="640" t="s">
        <v>125</v>
      </c>
      <c r="B136" s="640">
        <v>2</v>
      </c>
      <c r="C136" s="640">
        <v>2</v>
      </c>
      <c r="D136" s="640" t="s">
        <v>400</v>
      </c>
      <c r="E136" s="640" t="s">
        <v>410</v>
      </c>
      <c r="F136" s="640"/>
      <c r="G136" s="640" t="s">
        <v>483</v>
      </c>
      <c r="H136" s="664" t="s">
        <v>380</v>
      </c>
      <c r="I136" s="640" t="s">
        <v>484</v>
      </c>
      <c r="J136" s="640"/>
      <c r="K136" s="640">
        <v>4</v>
      </c>
      <c r="L136" s="664">
        <v>8</v>
      </c>
      <c r="M136" s="640"/>
      <c r="N136" s="640"/>
      <c r="O136" s="640" t="s">
        <v>359</v>
      </c>
      <c r="P136" s="640" t="s">
        <v>360</v>
      </c>
      <c r="Q136" s="664" t="s">
        <v>361</v>
      </c>
      <c r="R136" s="640" t="s">
        <v>362</v>
      </c>
      <c r="S136" s="640">
        <v>4</v>
      </c>
      <c r="T136" s="640" t="s">
        <v>427</v>
      </c>
      <c r="U136" s="640" t="s">
        <v>428</v>
      </c>
      <c r="V136" s="640" t="s">
        <v>359</v>
      </c>
      <c r="W136" s="640" t="s">
        <v>360</v>
      </c>
      <c r="X136" s="653" t="s">
        <v>369</v>
      </c>
      <c r="Y136" s="652">
        <v>1</v>
      </c>
      <c r="Z136" s="652">
        <v>1</v>
      </c>
      <c r="AA136" s="641"/>
      <c r="AB136" s="640"/>
      <c r="AC136" s="640"/>
      <c r="AD136" s="640"/>
      <c r="AE136" s="642" t="s">
        <v>485</v>
      </c>
      <c r="AF136" s="643" t="s">
        <v>105</v>
      </c>
      <c r="AG136" s="648">
        <v>64</v>
      </c>
      <c r="AH136" s="648">
        <v>48</v>
      </c>
      <c r="AI136" s="649">
        <v>2400</v>
      </c>
      <c r="AJ136" s="649">
        <v>153.6</v>
      </c>
      <c r="AK136" s="649">
        <v>1920</v>
      </c>
      <c r="AL136" s="649">
        <v>92.16</v>
      </c>
    </row>
    <row r="137" spans="1:38" x14ac:dyDescent="0.2">
      <c r="A137" s="635" t="s">
        <v>125</v>
      </c>
      <c r="B137" s="635">
        <v>3</v>
      </c>
      <c r="C137" s="635">
        <v>3</v>
      </c>
      <c r="D137" s="635" t="s">
        <v>400</v>
      </c>
      <c r="E137" s="635" t="s">
        <v>406</v>
      </c>
      <c r="F137" s="635"/>
      <c r="G137" s="635" t="s">
        <v>483</v>
      </c>
      <c r="H137" s="664" t="s">
        <v>380</v>
      </c>
      <c r="I137" s="635" t="s">
        <v>484</v>
      </c>
      <c r="J137" s="635"/>
      <c r="K137" s="635">
        <v>4</v>
      </c>
      <c r="L137" s="664">
        <v>8</v>
      </c>
      <c r="M137" s="635"/>
      <c r="N137" s="635"/>
      <c r="O137" s="635" t="s">
        <v>359</v>
      </c>
      <c r="P137" s="635" t="s">
        <v>360</v>
      </c>
      <c r="Q137" s="664" t="s">
        <v>361</v>
      </c>
      <c r="R137" s="635" t="s">
        <v>362</v>
      </c>
      <c r="S137" s="635">
        <v>4</v>
      </c>
      <c r="T137" s="635" t="s">
        <v>427</v>
      </c>
      <c r="U137" s="635" t="s">
        <v>428</v>
      </c>
      <c r="V137" s="635" t="s">
        <v>359</v>
      </c>
      <c r="W137" s="635" t="s">
        <v>360</v>
      </c>
      <c r="X137" s="651" t="s">
        <v>369</v>
      </c>
      <c r="Y137" s="650">
        <v>1</v>
      </c>
      <c r="Z137" s="650">
        <v>1</v>
      </c>
      <c r="AA137" s="636"/>
      <c r="AB137" s="635"/>
      <c r="AC137" s="635"/>
      <c r="AD137" s="635"/>
      <c r="AE137" s="637" t="s">
        <v>485</v>
      </c>
      <c r="AF137" s="638" t="s">
        <v>105</v>
      </c>
      <c r="AG137" s="646">
        <v>64</v>
      </c>
      <c r="AH137" s="646">
        <v>48</v>
      </c>
      <c r="AI137" s="647">
        <v>2400</v>
      </c>
      <c r="AJ137" s="647">
        <v>153.6</v>
      </c>
      <c r="AK137" s="647">
        <v>1920</v>
      </c>
      <c r="AL137" s="647">
        <v>92.16</v>
      </c>
    </row>
    <row r="138" spans="1:38" x14ac:dyDescent="0.2">
      <c r="A138" s="640" t="s">
        <v>125</v>
      </c>
      <c r="B138" s="640">
        <v>4</v>
      </c>
      <c r="C138" s="640">
        <v>4</v>
      </c>
      <c r="D138" s="640" t="s">
        <v>400</v>
      </c>
      <c r="E138" s="640" t="s">
        <v>413</v>
      </c>
      <c r="F138" s="640"/>
      <c r="G138" s="640" t="s">
        <v>483</v>
      </c>
      <c r="H138" s="664" t="s">
        <v>380</v>
      </c>
      <c r="I138" s="640" t="s">
        <v>484</v>
      </c>
      <c r="J138" s="640"/>
      <c r="K138" s="640">
        <v>8</v>
      </c>
      <c r="L138" s="664">
        <v>16</v>
      </c>
      <c r="M138" s="640"/>
      <c r="N138" s="640"/>
      <c r="O138" s="640" t="s">
        <v>359</v>
      </c>
      <c r="P138" s="640" t="s">
        <v>360</v>
      </c>
      <c r="Q138" s="664" t="s">
        <v>361</v>
      </c>
      <c r="R138" s="640" t="s">
        <v>362</v>
      </c>
      <c r="S138" s="640">
        <v>8</v>
      </c>
      <c r="T138" s="640" t="s">
        <v>381</v>
      </c>
      <c r="U138" s="640" t="s">
        <v>382</v>
      </c>
      <c r="V138" s="640" t="s">
        <v>359</v>
      </c>
      <c r="W138" s="640" t="s">
        <v>360</v>
      </c>
      <c r="X138" s="653" t="s">
        <v>369</v>
      </c>
      <c r="Y138" s="652">
        <v>1</v>
      </c>
      <c r="Z138" s="652">
        <v>2</v>
      </c>
      <c r="AA138" s="641"/>
      <c r="AB138" s="640"/>
      <c r="AC138" s="640"/>
      <c r="AD138" s="640"/>
      <c r="AE138" s="642" t="s">
        <v>486</v>
      </c>
      <c r="AF138" s="643" t="s">
        <v>105</v>
      </c>
      <c r="AG138" s="648">
        <v>64</v>
      </c>
      <c r="AH138" s="648">
        <v>48</v>
      </c>
      <c r="AI138" s="649">
        <v>2400</v>
      </c>
      <c r="AJ138" s="649">
        <v>307.2</v>
      </c>
      <c r="AK138" s="649">
        <v>1920</v>
      </c>
      <c r="AL138" s="649">
        <v>184.32</v>
      </c>
    </row>
    <row r="139" spans="1:38" x14ac:dyDescent="0.2">
      <c r="A139" s="635" t="s">
        <v>125</v>
      </c>
      <c r="B139" s="635">
        <v>5</v>
      </c>
      <c r="C139" s="635">
        <v>5</v>
      </c>
      <c r="D139" s="635" t="s">
        <v>400</v>
      </c>
      <c r="E139" s="635" t="s">
        <v>487</v>
      </c>
      <c r="F139" s="635"/>
      <c r="G139" s="635" t="s">
        <v>483</v>
      </c>
      <c r="H139" s="664" t="s">
        <v>380</v>
      </c>
      <c r="I139" s="635" t="s">
        <v>484</v>
      </c>
      <c r="J139" s="635"/>
      <c r="K139" s="635">
        <v>4</v>
      </c>
      <c r="L139" s="664">
        <v>8</v>
      </c>
      <c r="M139" s="635"/>
      <c r="N139" s="635"/>
      <c r="O139" s="635" t="s">
        <v>359</v>
      </c>
      <c r="P139" s="635" t="s">
        <v>360</v>
      </c>
      <c r="Q139" s="664" t="s">
        <v>361</v>
      </c>
      <c r="R139" s="635" t="s">
        <v>362</v>
      </c>
      <c r="S139" s="635">
        <v>4</v>
      </c>
      <c r="T139" s="635" t="s">
        <v>427</v>
      </c>
      <c r="U139" s="635" t="s">
        <v>428</v>
      </c>
      <c r="V139" s="635" t="s">
        <v>359</v>
      </c>
      <c r="W139" s="635" t="s">
        <v>360</v>
      </c>
      <c r="X139" s="651" t="s">
        <v>369</v>
      </c>
      <c r="Y139" s="650">
        <v>1</v>
      </c>
      <c r="Z139" s="650">
        <v>1</v>
      </c>
      <c r="AA139" s="636"/>
      <c r="AB139" s="635"/>
      <c r="AC139" s="635"/>
      <c r="AD139" s="635"/>
      <c r="AE139" s="637" t="s">
        <v>486</v>
      </c>
      <c r="AF139" s="638" t="s">
        <v>105</v>
      </c>
      <c r="AG139" s="646">
        <v>64</v>
      </c>
      <c r="AH139" s="646">
        <v>28</v>
      </c>
      <c r="AI139" s="647">
        <v>2400</v>
      </c>
      <c r="AJ139" s="647">
        <v>345.6</v>
      </c>
      <c r="AK139" s="647">
        <v>1920</v>
      </c>
      <c r="AL139" s="647">
        <v>53.76</v>
      </c>
    </row>
    <row r="140" spans="1:38" x14ac:dyDescent="0.2">
      <c r="A140" s="640" t="s">
        <v>125</v>
      </c>
      <c r="B140" s="640">
        <v>6</v>
      </c>
      <c r="C140" s="640">
        <v>6</v>
      </c>
      <c r="D140" s="640" t="s">
        <v>400</v>
      </c>
      <c r="E140" s="640" t="s">
        <v>488</v>
      </c>
      <c r="F140" s="640"/>
      <c r="G140" s="640" t="s">
        <v>489</v>
      </c>
      <c r="H140" s="664" t="s">
        <v>380</v>
      </c>
      <c r="I140" s="640" t="s">
        <v>490</v>
      </c>
      <c r="J140" s="640"/>
      <c r="K140" s="640">
        <v>30</v>
      </c>
      <c r="L140" s="664">
        <v>60</v>
      </c>
      <c r="M140" s="640"/>
      <c r="N140" s="640"/>
      <c r="O140" s="640" t="s">
        <v>359</v>
      </c>
      <c r="P140" s="640" t="s">
        <v>360</v>
      </c>
      <c r="Q140" s="664" t="s">
        <v>361</v>
      </c>
      <c r="R140" s="640" t="s">
        <v>362</v>
      </c>
      <c r="S140" s="640">
        <v>30</v>
      </c>
      <c r="T140" s="640" t="s">
        <v>491</v>
      </c>
      <c r="U140" s="640" t="s">
        <v>492</v>
      </c>
      <c r="V140" s="640" t="s">
        <v>359</v>
      </c>
      <c r="W140" s="640" t="s">
        <v>360</v>
      </c>
      <c r="X140" s="653" t="s">
        <v>364</v>
      </c>
      <c r="Y140" s="652">
        <v>2</v>
      </c>
      <c r="Z140" s="652">
        <v>2</v>
      </c>
      <c r="AA140" s="641"/>
      <c r="AB140" s="640"/>
      <c r="AC140" s="640"/>
      <c r="AD140" s="640"/>
      <c r="AE140" s="642" t="s">
        <v>493</v>
      </c>
      <c r="AF140" s="643" t="s">
        <v>105</v>
      </c>
      <c r="AG140" s="648">
        <v>64</v>
      </c>
      <c r="AH140" s="648">
        <v>28</v>
      </c>
      <c r="AI140" s="649">
        <v>1800</v>
      </c>
      <c r="AJ140" s="649">
        <v>1944</v>
      </c>
      <c r="AK140" s="649">
        <v>1440</v>
      </c>
      <c r="AL140" s="649">
        <v>302.39999999999998</v>
      </c>
    </row>
    <row r="141" spans="1:38" x14ac:dyDescent="0.2">
      <c r="A141" s="635" t="s">
        <v>125</v>
      </c>
      <c r="B141" s="635">
        <v>7</v>
      </c>
      <c r="C141" s="635">
        <v>7</v>
      </c>
      <c r="D141" s="635" t="s">
        <v>400</v>
      </c>
      <c r="E141" s="635" t="s">
        <v>494</v>
      </c>
      <c r="F141" s="635"/>
      <c r="G141" s="635" t="s">
        <v>483</v>
      </c>
      <c r="H141" s="664" t="s">
        <v>380</v>
      </c>
      <c r="I141" s="635" t="s">
        <v>484</v>
      </c>
      <c r="J141" s="635"/>
      <c r="K141" s="635">
        <v>10</v>
      </c>
      <c r="L141" s="664">
        <v>20</v>
      </c>
      <c r="M141" s="635"/>
      <c r="N141" s="635"/>
      <c r="O141" s="635" t="s">
        <v>359</v>
      </c>
      <c r="P141" s="635" t="s">
        <v>360</v>
      </c>
      <c r="Q141" s="664" t="s">
        <v>361</v>
      </c>
      <c r="R141" s="635" t="s">
        <v>362</v>
      </c>
      <c r="S141" s="635">
        <v>10</v>
      </c>
      <c r="T141" s="635" t="s">
        <v>424</v>
      </c>
      <c r="U141" s="635" t="s">
        <v>425</v>
      </c>
      <c r="V141" s="635" t="s">
        <v>359</v>
      </c>
      <c r="W141" s="635" t="s">
        <v>360</v>
      </c>
      <c r="X141" s="651"/>
      <c r="Y141" s="650"/>
      <c r="Z141" s="650"/>
      <c r="AA141" s="636"/>
      <c r="AB141" s="635"/>
      <c r="AC141" s="635"/>
      <c r="AD141" s="635"/>
      <c r="AE141" s="637" t="s">
        <v>486</v>
      </c>
      <c r="AF141" s="638" t="s">
        <v>105</v>
      </c>
      <c r="AG141" s="646">
        <v>64</v>
      </c>
      <c r="AH141" s="646">
        <v>28</v>
      </c>
      <c r="AI141" s="647">
        <v>2400</v>
      </c>
      <c r="AJ141" s="647">
        <v>864</v>
      </c>
      <c r="AK141" s="647">
        <v>2400</v>
      </c>
      <c r="AL141" s="647">
        <v>0</v>
      </c>
    </row>
    <row r="142" spans="1:38" x14ac:dyDescent="0.2">
      <c r="A142" s="635" t="s">
        <v>125</v>
      </c>
      <c r="B142" s="635">
        <v>9</v>
      </c>
      <c r="C142" s="635">
        <v>9</v>
      </c>
      <c r="D142" s="635" t="s">
        <v>400</v>
      </c>
      <c r="E142" s="635" t="s">
        <v>495</v>
      </c>
      <c r="F142" s="635"/>
      <c r="G142" s="635" t="s">
        <v>483</v>
      </c>
      <c r="H142" s="664" t="s">
        <v>380</v>
      </c>
      <c r="I142" s="635" t="s">
        <v>484</v>
      </c>
      <c r="J142" s="635"/>
      <c r="K142" s="635">
        <v>10</v>
      </c>
      <c r="L142" s="664">
        <v>20</v>
      </c>
      <c r="M142" s="635"/>
      <c r="N142" s="635"/>
      <c r="O142" s="635" t="s">
        <v>359</v>
      </c>
      <c r="P142" s="635" t="s">
        <v>360</v>
      </c>
      <c r="Q142" s="664" t="s">
        <v>361</v>
      </c>
      <c r="R142" s="635" t="s">
        <v>362</v>
      </c>
      <c r="S142" s="635">
        <v>10</v>
      </c>
      <c r="T142" s="635" t="s">
        <v>424</v>
      </c>
      <c r="U142" s="635" t="s">
        <v>425</v>
      </c>
      <c r="V142" s="635" t="s">
        <v>359</v>
      </c>
      <c r="W142" s="635" t="s">
        <v>360</v>
      </c>
      <c r="X142" s="651"/>
      <c r="Y142" s="650"/>
      <c r="Z142" s="650"/>
      <c r="AA142" s="636"/>
      <c r="AB142" s="635"/>
      <c r="AC142" s="635"/>
      <c r="AD142" s="635"/>
      <c r="AE142" s="637" t="s">
        <v>438</v>
      </c>
      <c r="AF142" s="638" t="s">
        <v>105</v>
      </c>
      <c r="AG142" s="646">
        <v>64</v>
      </c>
      <c r="AH142" s="646">
        <v>28</v>
      </c>
      <c r="AI142" s="647">
        <v>2400</v>
      </c>
      <c r="AJ142" s="647">
        <v>864</v>
      </c>
      <c r="AK142" s="647">
        <v>2400</v>
      </c>
      <c r="AL142" s="647">
        <v>0</v>
      </c>
    </row>
    <row r="143" spans="1:38" x14ac:dyDescent="0.2">
      <c r="A143" s="640" t="s">
        <v>125</v>
      </c>
      <c r="B143" s="640">
        <v>10</v>
      </c>
      <c r="C143" s="640">
        <v>10</v>
      </c>
      <c r="D143" s="640" t="s">
        <v>400</v>
      </c>
      <c r="E143" s="640" t="s">
        <v>496</v>
      </c>
      <c r="F143" s="640"/>
      <c r="G143" s="640" t="s">
        <v>407</v>
      </c>
      <c r="H143" s="664" t="s">
        <v>380</v>
      </c>
      <c r="I143" s="640" t="s">
        <v>490</v>
      </c>
      <c r="J143" s="640"/>
      <c r="K143" s="640">
        <v>10</v>
      </c>
      <c r="L143" s="664">
        <v>20</v>
      </c>
      <c r="M143" s="640"/>
      <c r="N143" s="640"/>
      <c r="O143" s="640" t="s">
        <v>359</v>
      </c>
      <c r="P143" s="640" t="s">
        <v>360</v>
      </c>
      <c r="Q143" s="664" t="s">
        <v>361</v>
      </c>
      <c r="R143" s="640" t="s">
        <v>362</v>
      </c>
      <c r="S143" s="640">
        <v>10</v>
      </c>
      <c r="T143" s="640" t="s">
        <v>424</v>
      </c>
      <c r="U143" s="640" t="s">
        <v>425</v>
      </c>
      <c r="V143" s="640" t="s">
        <v>359</v>
      </c>
      <c r="W143" s="640" t="s">
        <v>360</v>
      </c>
      <c r="X143" s="653" t="s">
        <v>364</v>
      </c>
      <c r="Y143" s="652">
        <v>1</v>
      </c>
      <c r="Z143" s="652">
        <v>1</v>
      </c>
      <c r="AA143" s="641"/>
      <c r="AB143" s="640"/>
      <c r="AC143" s="640"/>
      <c r="AD143" s="640"/>
      <c r="AE143" s="642" t="s">
        <v>438</v>
      </c>
      <c r="AF143" s="643" t="s">
        <v>105</v>
      </c>
      <c r="AG143" s="648">
        <v>64</v>
      </c>
      <c r="AH143" s="648">
        <v>28</v>
      </c>
      <c r="AI143" s="649">
        <v>2160</v>
      </c>
      <c r="AJ143" s="649">
        <v>777.6</v>
      </c>
      <c r="AK143" s="649">
        <v>1728</v>
      </c>
      <c r="AL143" s="649">
        <v>120.96</v>
      </c>
    </row>
    <row r="144" spans="1:38" x14ac:dyDescent="0.2">
      <c r="A144" s="635" t="s">
        <v>125</v>
      </c>
      <c r="B144" s="635">
        <v>11</v>
      </c>
      <c r="C144" s="635">
        <v>11</v>
      </c>
      <c r="D144" s="635" t="s">
        <v>400</v>
      </c>
      <c r="E144" s="635" t="s">
        <v>497</v>
      </c>
      <c r="F144" s="635"/>
      <c r="G144" s="635" t="s">
        <v>407</v>
      </c>
      <c r="H144" s="664" t="s">
        <v>380</v>
      </c>
      <c r="I144" s="635" t="s">
        <v>484</v>
      </c>
      <c r="J144" s="635"/>
      <c r="K144" s="635">
        <v>4</v>
      </c>
      <c r="L144" s="664">
        <v>8</v>
      </c>
      <c r="M144" s="635"/>
      <c r="N144" s="635"/>
      <c r="O144" s="635" t="s">
        <v>359</v>
      </c>
      <c r="P144" s="635" t="s">
        <v>360</v>
      </c>
      <c r="Q144" s="664" t="s">
        <v>361</v>
      </c>
      <c r="R144" s="635" t="s">
        <v>362</v>
      </c>
      <c r="S144" s="635">
        <v>4</v>
      </c>
      <c r="T144" s="635" t="s">
        <v>427</v>
      </c>
      <c r="U144" s="635" t="s">
        <v>428</v>
      </c>
      <c r="V144" s="635" t="s">
        <v>359</v>
      </c>
      <c r="W144" s="635" t="s">
        <v>360</v>
      </c>
      <c r="X144" s="651" t="s">
        <v>364</v>
      </c>
      <c r="Y144" s="650">
        <v>1</v>
      </c>
      <c r="Z144" s="650">
        <v>1</v>
      </c>
      <c r="AA144" s="636"/>
      <c r="AB144" s="635"/>
      <c r="AC144" s="635"/>
      <c r="AD144" s="635"/>
      <c r="AE144" s="637" t="s">
        <v>438</v>
      </c>
      <c r="AF144" s="638" t="s">
        <v>105</v>
      </c>
      <c r="AG144" s="646">
        <v>64</v>
      </c>
      <c r="AH144" s="646">
        <v>28</v>
      </c>
      <c r="AI144" s="647">
        <v>2160</v>
      </c>
      <c r="AJ144" s="647">
        <v>311.04000000000002</v>
      </c>
      <c r="AK144" s="647">
        <v>1728</v>
      </c>
      <c r="AL144" s="647">
        <v>48.384</v>
      </c>
    </row>
    <row r="145" spans="1:38" x14ac:dyDescent="0.2">
      <c r="A145" s="640" t="s">
        <v>125</v>
      </c>
      <c r="B145" s="640">
        <v>12</v>
      </c>
      <c r="C145" s="640">
        <v>12</v>
      </c>
      <c r="D145" s="640" t="s">
        <v>400</v>
      </c>
      <c r="E145" s="640" t="s">
        <v>497</v>
      </c>
      <c r="F145" s="640"/>
      <c r="G145" s="640" t="s">
        <v>407</v>
      </c>
      <c r="H145" s="664" t="s">
        <v>380</v>
      </c>
      <c r="I145" s="640" t="s">
        <v>490</v>
      </c>
      <c r="J145" s="640"/>
      <c r="K145" s="640">
        <v>10</v>
      </c>
      <c r="L145" s="664">
        <v>20</v>
      </c>
      <c r="M145" s="640"/>
      <c r="N145" s="640"/>
      <c r="O145" s="640" t="s">
        <v>359</v>
      </c>
      <c r="P145" s="640" t="s">
        <v>360</v>
      </c>
      <c r="Q145" s="664" t="s">
        <v>361</v>
      </c>
      <c r="R145" s="640" t="s">
        <v>362</v>
      </c>
      <c r="S145" s="640">
        <v>10</v>
      </c>
      <c r="T145" s="640" t="s">
        <v>424</v>
      </c>
      <c r="U145" s="640" t="s">
        <v>425</v>
      </c>
      <c r="V145" s="640" t="s">
        <v>359</v>
      </c>
      <c r="W145" s="640" t="s">
        <v>360</v>
      </c>
      <c r="X145" s="653" t="s">
        <v>364</v>
      </c>
      <c r="Y145" s="652"/>
      <c r="Z145" s="652"/>
      <c r="AA145" s="641"/>
      <c r="AB145" s="640"/>
      <c r="AC145" s="640"/>
      <c r="AD145" s="640"/>
      <c r="AE145" s="642" t="s">
        <v>438</v>
      </c>
      <c r="AF145" s="643" t="s">
        <v>105</v>
      </c>
      <c r="AG145" s="648">
        <v>64</v>
      </c>
      <c r="AH145" s="648">
        <v>28</v>
      </c>
      <c r="AI145" s="649">
        <v>2160</v>
      </c>
      <c r="AJ145" s="649">
        <v>777.6</v>
      </c>
      <c r="AK145" s="649">
        <v>1728</v>
      </c>
      <c r="AL145" s="649">
        <v>120.96</v>
      </c>
    </row>
    <row r="146" spans="1:38" x14ac:dyDescent="0.2">
      <c r="A146" s="640" t="s">
        <v>125</v>
      </c>
      <c r="B146" s="640">
        <v>16</v>
      </c>
      <c r="C146" s="640">
        <v>16</v>
      </c>
      <c r="D146" s="640" t="s">
        <v>400</v>
      </c>
      <c r="E146" s="640" t="s">
        <v>498</v>
      </c>
      <c r="F146" s="640"/>
      <c r="G146" s="640" t="s">
        <v>499</v>
      </c>
      <c r="H146" s="664" t="s">
        <v>380</v>
      </c>
      <c r="I146" s="640" t="s">
        <v>484</v>
      </c>
      <c r="J146" s="640"/>
      <c r="K146" s="640">
        <v>10</v>
      </c>
      <c r="L146" s="664">
        <v>20</v>
      </c>
      <c r="M146" s="640"/>
      <c r="N146" s="640"/>
      <c r="O146" s="640" t="s">
        <v>359</v>
      </c>
      <c r="P146" s="640" t="s">
        <v>360</v>
      </c>
      <c r="Q146" s="664" t="s">
        <v>361</v>
      </c>
      <c r="R146" s="640" t="s">
        <v>362</v>
      </c>
      <c r="S146" s="640">
        <v>10</v>
      </c>
      <c r="T146" s="640" t="s">
        <v>424</v>
      </c>
      <c r="U146" s="640" t="s">
        <v>425</v>
      </c>
      <c r="V146" s="640" t="s">
        <v>359</v>
      </c>
      <c r="W146" s="640" t="s">
        <v>360</v>
      </c>
      <c r="X146" s="653" t="s">
        <v>364</v>
      </c>
      <c r="Y146" s="652">
        <v>1</v>
      </c>
      <c r="Z146" s="652">
        <v>2</v>
      </c>
      <c r="AA146" s="641"/>
      <c r="AB146" s="640"/>
      <c r="AC146" s="640"/>
      <c r="AD146" s="640"/>
      <c r="AE146" s="642" t="s">
        <v>438</v>
      </c>
      <c r="AF146" s="643" t="s">
        <v>105</v>
      </c>
      <c r="AG146" s="648">
        <v>64</v>
      </c>
      <c r="AH146" s="648">
        <v>28</v>
      </c>
      <c r="AI146" s="649">
        <v>1800</v>
      </c>
      <c r="AJ146" s="649">
        <v>648</v>
      </c>
      <c r="AK146" s="649">
        <v>1440</v>
      </c>
      <c r="AL146" s="649">
        <v>100.8</v>
      </c>
    </row>
    <row r="147" spans="1:38" x14ac:dyDescent="0.2">
      <c r="A147" s="635" t="s">
        <v>125</v>
      </c>
      <c r="B147" s="635">
        <v>17</v>
      </c>
      <c r="C147" s="635">
        <v>17</v>
      </c>
      <c r="D147" s="635" t="s">
        <v>400</v>
      </c>
      <c r="E147" s="635" t="s">
        <v>500</v>
      </c>
      <c r="F147" s="635"/>
      <c r="G147" s="635" t="s">
        <v>499</v>
      </c>
      <c r="H147" s="664" t="s">
        <v>380</v>
      </c>
      <c r="I147" s="635" t="s">
        <v>484</v>
      </c>
      <c r="J147" s="635"/>
      <c r="K147" s="635">
        <v>14</v>
      </c>
      <c r="L147" s="664">
        <v>28</v>
      </c>
      <c r="M147" s="635"/>
      <c r="N147" s="635"/>
      <c r="O147" s="635" t="s">
        <v>359</v>
      </c>
      <c r="P147" s="635" t="s">
        <v>360</v>
      </c>
      <c r="Q147" s="664" t="s">
        <v>361</v>
      </c>
      <c r="R147" s="635" t="s">
        <v>362</v>
      </c>
      <c r="S147" s="635">
        <v>14</v>
      </c>
      <c r="T147" s="635" t="s">
        <v>501</v>
      </c>
      <c r="U147" s="635" t="s">
        <v>502</v>
      </c>
      <c r="V147" s="635" t="s">
        <v>359</v>
      </c>
      <c r="W147" s="635" t="s">
        <v>360</v>
      </c>
      <c r="X147" s="651" t="s">
        <v>364</v>
      </c>
      <c r="Y147" s="650">
        <v>1</v>
      </c>
      <c r="Z147" s="650">
        <v>2</v>
      </c>
      <c r="AA147" s="636"/>
      <c r="AB147" s="635"/>
      <c r="AC147" s="635"/>
      <c r="AD147" s="635"/>
      <c r="AE147" s="637" t="s">
        <v>438</v>
      </c>
      <c r="AF147" s="638" t="s">
        <v>105</v>
      </c>
      <c r="AG147" s="646">
        <v>64</v>
      </c>
      <c r="AH147" s="646">
        <v>28</v>
      </c>
      <c r="AI147" s="647">
        <v>1800</v>
      </c>
      <c r="AJ147" s="647">
        <v>907.2</v>
      </c>
      <c r="AK147" s="647">
        <v>1440</v>
      </c>
      <c r="AL147" s="647">
        <v>141.12</v>
      </c>
    </row>
    <row r="148" spans="1:38" x14ac:dyDescent="0.2">
      <c r="A148" s="640" t="s">
        <v>125</v>
      </c>
      <c r="B148" s="640">
        <v>18</v>
      </c>
      <c r="C148" s="640">
        <v>18</v>
      </c>
      <c r="D148" s="640" t="s">
        <v>503</v>
      </c>
      <c r="E148" s="640" t="s">
        <v>503</v>
      </c>
      <c r="F148" s="640"/>
      <c r="G148" s="640" t="s">
        <v>503</v>
      </c>
      <c r="H148" s="664" t="s">
        <v>380</v>
      </c>
      <c r="I148" s="640" t="s">
        <v>504</v>
      </c>
      <c r="J148" s="640"/>
      <c r="K148" s="640">
        <v>18</v>
      </c>
      <c r="L148" s="664">
        <v>36</v>
      </c>
      <c r="M148" s="640"/>
      <c r="N148" s="640"/>
      <c r="O148" s="640" t="s">
        <v>359</v>
      </c>
      <c r="P148" s="640" t="s">
        <v>360</v>
      </c>
      <c r="Q148" s="664" t="s">
        <v>361</v>
      </c>
      <c r="R148" s="640" t="s">
        <v>362</v>
      </c>
      <c r="S148" s="640">
        <v>18</v>
      </c>
      <c r="T148" s="640" t="s">
        <v>452</v>
      </c>
      <c r="U148" s="640" t="s">
        <v>453</v>
      </c>
      <c r="V148" s="640" t="s">
        <v>359</v>
      </c>
      <c r="W148" s="640" t="s">
        <v>360</v>
      </c>
      <c r="X148" s="653"/>
      <c r="Y148" s="652"/>
      <c r="Z148" s="652"/>
      <c r="AA148" s="641"/>
      <c r="AB148" s="640"/>
      <c r="AC148" s="640"/>
      <c r="AD148" s="640"/>
      <c r="AE148" s="642"/>
      <c r="AF148" s="643" t="s">
        <v>105</v>
      </c>
      <c r="AG148" s="648">
        <v>64</v>
      </c>
      <c r="AH148" s="648">
        <v>28</v>
      </c>
      <c r="AI148" s="649">
        <v>4380</v>
      </c>
      <c r="AJ148" s="649">
        <v>2838.24</v>
      </c>
      <c r="AK148" s="649">
        <v>4380</v>
      </c>
      <c r="AL148" s="649">
        <v>0</v>
      </c>
    </row>
    <row r="149" spans="1:38" x14ac:dyDescent="0.2">
      <c r="A149" s="635" t="s">
        <v>125</v>
      </c>
      <c r="B149" s="635">
        <v>21</v>
      </c>
      <c r="C149" s="635">
        <v>21</v>
      </c>
      <c r="D149" s="635" t="s">
        <v>444</v>
      </c>
      <c r="E149" s="635" t="s">
        <v>505</v>
      </c>
      <c r="F149" s="635"/>
      <c r="G149" s="635" t="s">
        <v>357</v>
      </c>
      <c r="H149" s="664" t="s">
        <v>380</v>
      </c>
      <c r="I149" s="635" t="s">
        <v>484</v>
      </c>
      <c r="J149" s="635"/>
      <c r="K149" s="635">
        <v>24</v>
      </c>
      <c r="L149" s="664">
        <v>48</v>
      </c>
      <c r="M149" s="635"/>
      <c r="N149" s="635"/>
      <c r="O149" s="635" t="s">
        <v>359</v>
      </c>
      <c r="P149" s="635" t="s">
        <v>360</v>
      </c>
      <c r="Q149" s="664" t="s">
        <v>361</v>
      </c>
      <c r="R149" s="635" t="s">
        <v>362</v>
      </c>
      <c r="S149" s="635">
        <v>24</v>
      </c>
      <c r="T149" s="635" t="s">
        <v>471</v>
      </c>
      <c r="U149" s="635" t="s">
        <v>472</v>
      </c>
      <c r="V149" s="635" t="s">
        <v>359</v>
      </c>
      <c r="W149" s="635" t="s">
        <v>360</v>
      </c>
      <c r="X149" s="651"/>
      <c r="Y149" s="650"/>
      <c r="Z149" s="650"/>
      <c r="AA149" s="636"/>
      <c r="AB149" s="635"/>
      <c r="AC149" s="635"/>
      <c r="AD149" s="635"/>
      <c r="AE149" s="637" t="s">
        <v>438</v>
      </c>
      <c r="AF149" s="638" t="s">
        <v>105</v>
      </c>
      <c r="AG149" s="646">
        <v>64</v>
      </c>
      <c r="AH149" s="646">
        <v>28</v>
      </c>
      <c r="AI149" s="647">
        <v>2520</v>
      </c>
      <c r="AJ149" s="647">
        <v>2177.2800000000002</v>
      </c>
      <c r="AK149" s="647">
        <v>2520</v>
      </c>
      <c r="AL149" s="647">
        <v>0</v>
      </c>
    </row>
    <row r="150" spans="1:38" x14ac:dyDescent="0.2">
      <c r="A150" s="635" t="s">
        <v>125</v>
      </c>
      <c r="B150" s="635">
        <v>23</v>
      </c>
      <c r="C150" s="635">
        <v>23</v>
      </c>
      <c r="D150" s="635" t="s">
        <v>444</v>
      </c>
      <c r="E150" s="635" t="s">
        <v>458</v>
      </c>
      <c r="F150" s="635"/>
      <c r="G150" s="635" t="s">
        <v>49</v>
      </c>
      <c r="H150" s="664" t="s">
        <v>380</v>
      </c>
      <c r="I150" s="635" t="s">
        <v>368</v>
      </c>
      <c r="J150" s="635"/>
      <c r="K150" s="635">
        <v>16</v>
      </c>
      <c r="L150" s="664">
        <v>32</v>
      </c>
      <c r="M150" s="635"/>
      <c r="N150" s="635"/>
      <c r="O150" s="635" t="s">
        <v>359</v>
      </c>
      <c r="P150" s="635" t="s">
        <v>360</v>
      </c>
      <c r="Q150" s="664" t="s">
        <v>361</v>
      </c>
      <c r="R150" s="635" t="s">
        <v>362</v>
      </c>
      <c r="S150" s="635">
        <v>16</v>
      </c>
      <c r="T150" s="635" t="s">
        <v>414</v>
      </c>
      <c r="U150" s="635" t="s">
        <v>415</v>
      </c>
      <c r="V150" s="635" t="s">
        <v>359</v>
      </c>
      <c r="W150" s="635" t="s">
        <v>360</v>
      </c>
      <c r="X150" s="651"/>
      <c r="Y150" s="650"/>
      <c r="Z150" s="650"/>
      <c r="AA150" s="636"/>
      <c r="AB150" s="635"/>
      <c r="AC150" s="635"/>
      <c r="AD150" s="635"/>
      <c r="AE150" s="637" t="s">
        <v>506</v>
      </c>
      <c r="AF150" s="638" t="s">
        <v>105</v>
      </c>
      <c r="AG150" s="646">
        <v>64</v>
      </c>
      <c r="AH150" s="646">
        <v>28</v>
      </c>
      <c r="AI150" s="647">
        <v>1800</v>
      </c>
      <c r="AJ150" s="647">
        <v>1036.8</v>
      </c>
      <c r="AK150" s="647">
        <v>1800</v>
      </c>
      <c r="AL150" s="647">
        <v>0</v>
      </c>
    </row>
    <row r="151" spans="1:38" x14ac:dyDescent="0.2">
      <c r="A151" s="640" t="s">
        <v>125</v>
      </c>
      <c r="B151" s="640">
        <v>24</v>
      </c>
      <c r="C151" s="640">
        <v>24</v>
      </c>
      <c r="D151" s="640" t="s">
        <v>444</v>
      </c>
      <c r="E151" s="640" t="s">
        <v>458</v>
      </c>
      <c r="F151" s="640"/>
      <c r="G151" s="640" t="s">
        <v>434</v>
      </c>
      <c r="H151" s="664" t="s">
        <v>380</v>
      </c>
      <c r="I151" s="640" t="s">
        <v>368</v>
      </c>
      <c r="J151" s="640"/>
      <c r="K151" s="640">
        <v>8</v>
      </c>
      <c r="L151" s="664">
        <v>16</v>
      </c>
      <c r="M151" s="640"/>
      <c r="N151" s="640"/>
      <c r="O151" s="640" t="s">
        <v>359</v>
      </c>
      <c r="P151" s="640" t="s">
        <v>360</v>
      </c>
      <c r="Q151" s="664" t="s">
        <v>361</v>
      </c>
      <c r="R151" s="640" t="s">
        <v>362</v>
      </c>
      <c r="S151" s="640">
        <v>8</v>
      </c>
      <c r="T151" s="640" t="s">
        <v>381</v>
      </c>
      <c r="U151" s="640" t="s">
        <v>382</v>
      </c>
      <c r="V151" s="640" t="s">
        <v>359</v>
      </c>
      <c r="W151" s="640" t="s">
        <v>360</v>
      </c>
      <c r="X151" s="653" t="s">
        <v>364</v>
      </c>
      <c r="Y151" s="652">
        <v>1</v>
      </c>
      <c r="Z151" s="652">
        <v>2</v>
      </c>
      <c r="AA151" s="641"/>
      <c r="AB151" s="640"/>
      <c r="AC151" s="640"/>
      <c r="AD151" s="640"/>
      <c r="AE151" s="642" t="s">
        <v>493</v>
      </c>
      <c r="AF151" s="643" t="s">
        <v>105</v>
      </c>
      <c r="AG151" s="648">
        <v>64</v>
      </c>
      <c r="AH151" s="648">
        <v>28</v>
      </c>
      <c r="AI151" s="649">
        <v>360</v>
      </c>
      <c r="AJ151" s="649">
        <v>103.68</v>
      </c>
      <c r="AK151" s="649">
        <v>288</v>
      </c>
      <c r="AL151" s="649">
        <v>16.128</v>
      </c>
    </row>
    <row r="152" spans="1:38" x14ac:dyDescent="0.2">
      <c r="A152" s="635" t="s">
        <v>125</v>
      </c>
      <c r="B152" s="635">
        <v>25</v>
      </c>
      <c r="C152" s="635">
        <v>25</v>
      </c>
      <c r="D152" s="635" t="s">
        <v>444</v>
      </c>
      <c r="E152" s="635" t="s">
        <v>458</v>
      </c>
      <c r="F152" s="635"/>
      <c r="G152" s="635" t="s">
        <v>483</v>
      </c>
      <c r="H152" s="664" t="s">
        <v>380</v>
      </c>
      <c r="I152" s="635" t="s">
        <v>368</v>
      </c>
      <c r="J152" s="635"/>
      <c r="K152" s="635">
        <v>2</v>
      </c>
      <c r="L152" s="664">
        <v>4</v>
      </c>
      <c r="M152" s="635"/>
      <c r="N152" s="635"/>
      <c r="O152" s="635" t="s">
        <v>359</v>
      </c>
      <c r="P152" s="635" t="s">
        <v>360</v>
      </c>
      <c r="Q152" s="664" t="s">
        <v>361</v>
      </c>
      <c r="R152" s="635" t="s">
        <v>362</v>
      </c>
      <c r="S152" s="635">
        <v>2</v>
      </c>
      <c r="T152" s="635" t="s">
        <v>391</v>
      </c>
      <c r="U152" s="635" t="s">
        <v>392</v>
      </c>
      <c r="V152" s="635" t="s">
        <v>359</v>
      </c>
      <c r="W152" s="635" t="s">
        <v>360</v>
      </c>
      <c r="X152" s="651"/>
      <c r="Y152" s="650"/>
      <c r="Z152" s="650"/>
      <c r="AA152" s="636"/>
      <c r="AB152" s="635"/>
      <c r="AC152" s="635"/>
      <c r="AD152" s="635"/>
      <c r="AE152" s="637" t="s">
        <v>474</v>
      </c>
      <c r="AF152" s="638" t="s">
        <v>105</v>
      </c>
      <c r="AG152" s="646">
        <v>64</v>
      </c>
      <c r="AH152" s="646">
        <v>28</v>
      </c>
      <c r="AI152" s="647">
        <v>2400</v>
      </c>
      <c r="AJ152" s="647">
        <v>172.8</v>
      </c>
      <c r="AK152" s="647">
        <v>2400</v>
      </c>
      <c r="AL152" s="647">
        <v>0</v>
      </c>
    </row>
    <row r="153" spans="1:38" x14ac:dyDescent="0.2">
      <c r="A153" s="635" t="s">
        <v>125</v>
      </c>
      <c r="B153" s="635">
        <v>33</v>
      </c>
      <c r="C153" s="635">
        <v>33</v>
      </c>
      <c r="D153" s="635" t="s">
        <v>444</v>
      </c>
      <c r="E153" s="635" t="s">
        <v>507</v>
      </c>
      <c r="F153" s="635"/>
      <c r="G153" s="635" t="s">
        <v>473</v>
      </c>
      <c r="H153" s="664" t="s">
        <v>380</v>
      </c>
      <c r="I153" s="635" t="s">
        <v>508</v>
      </c>
      <c r="J153" s="635"/>
      <c r="K153" s="635">
        <v>24</v>
      </c>
      <c r="L153" s="664">
        <v>48</v>
      </c>
      <c r="M153" s="635"/>
      <c r="N153" s="635"/>
      <c r="O153" s="635" t="s">
        <v>359</v>
      </c>
      <c r="P153" s="635" t="s">
        <v>360</v>
      </c>
      <c r="Q153" s="664" t="s">
        <v>361</v>
      </c>
      <c r="R153" s="635" t="s">
        <v>362</v>
      </c>
      <c r="S153" s="635">
        <v>24</v>
      </c>
      <c r="T153" s="635" t="s">
        <v>471</v>
      </c>
      <c r="U153" s="635" t="s">
        <v>472</v>
      </c>
      <c r="V153" s="635" t="s">
        <v>359</v>
      </c>
      <c r="W153" s="635" t="s">
        <v>360</v>
      </c>
      <c r="X153" s="651" t="s">
        <v>364</v>
      </c>
      <c r="Y153" s="650">
        <v>1</v>
      </c>
      <c r="Z153" s="650">
        <v>2</v>
      </c>
      <c r="AA153" s="636"/>
      <c r="AB153" s="635"/>
      <c r="AC153" s="635"/>
      <c r="AD153" s="635"/>
      <c r="AE153" s="637" t="s">
        <v>435</v>
      </c>
      <c r="AF153" s="638" t="s">
        <v>105</v>
      </c>
      <c r="AG153" s="646">
        <v>64</v>
      </c>
      <c r="AH153" s="646">
        <v>28</v>
      </c>
      <c r="AI153" s="647">
        <v>2520</v>
      </c>
      <c r="AJ153" s="647">
        <v>2177.2800000000002</v>
      </c>
      <c r="AK153" s="647">
        <v>2016</v>
      </c>
      <c r="AL153" s="647">
        <v>338.68799999999999</v>
      </c>
    </row>
    <row r="154" spans="1:38" x14ac:dyDescent="0.2">
      <c r="A154" s="635" t="s">
        <v>125</v>
      </c>
      <c r="B154" s="635">
        <v>37</v>
      </c>
      <c r="C154" s="635">
        <v>37</v>
      </c>
      <c r="D154" s="635" t="s">
        <v>444</v>
      </c>
      <c r="E154" s="635" t="s">
        <v>509</v>
      </c>
      <c r="F154" s="635"/>
      <c r="G154" s="635" t="s">
        <v>511</v>
      </c>
      <c r="H154" s="664" t="s">
        <v>380</v>
      </c>
      <c r="I154" s="635" t="s">
        <v>368</v>
      </c>
      <c r="J154" s="635"/>
      <c r="K154" s="635">
        <v>2</v>
      </c>
      <c r="L154" s="664">
        <v>4</v>
      </c>
      <c r="M154" s="635"/>
      <c r="N154" s="635"/>
      <c r="O154" s="635" t="s">
        <v>359</v>
      </c>
      <c r="P154" s="635" t="s">
        <v>360</v>
      </c>
      <c r="Q154" s="664" t="s">
        <v>361</v>
      </c>
      <c r="R154" s="635" t="s">
        <v>362</v>
      </c>
      <c r="S154" s="635">
        <v>2</v>
      </c>
      <c r="T154" s="635" t="s">
        <v>391</v>
      </c>
      <c r="U154" s="635" t="s">
        <v>392</v>
      </c>
      <c r="V154" s="635" t="s">
        <v>359</v>
      </c>
      <c r="W154" s="635" t="s">
        <v>360</v>
      </c>
      <c r="X154" s="651"/>
      <c r="Y154" s="650"/>
      <c r="Z154" s="650"/>
      <c r="AA154" s="636"/>
      <c r="AB154" s="635"/>
      <c r="AC154" s="635"/>
      <c r="AD154" s="635"/>
      <c r="AE154" s="637" t="s">
        <v>450</v>
      </c>
      <c r="AF154" s="638" t="s">
        <v>105</v>
      </c>
      <c r="AG154" s="646">
        <v>64</v>
      </c>
      <c r="AH154" s="646">
        <v>28</v>
      </c>
      <c r="AI154" s="647">
        <v>2000</v>
      </c>
      <c r="AJ154" s="647">
        <v>144</v>
      </c>
      <c r="AK154" s="647">
        <v>2000</v>
      </c>
      <c r="AL154" s="647">
        <v>0</v>
      </c>
    </row>
    <row r="155" spans="1:38" x14ac:dyDescent="0.2">
      <c r="A155" s="640" t="s">
        <v>125</v>
      </c>
      <c r="B155" s="640">
        <v>40</v>
      </c>
      <c r="C155" s="640">
        <v>40</v>
      </c>
      <c r="D155" s="640" t="s">
        <v>444</v>
      </c>
      <c r="E155" s="640" t="s">
        <v>483</v>
      </c>
      <c r="F155" s="640"/>
      <c r="G155" s="640" t="s">
        <v>483</v>
      </c>
      <c r="H155" s="664" t="s">
        <v>380</v>
      </c>
      <c r="I155" s="640" t="s">
        <v>368</v>
      </c>
      <c r="J155" s="640"/>
      <c r="K155" s="640">
        <v>5</v>
      </c>
      <c r="L155" s="664">
        <v>10</v>
      </c>
      <c r="M155" s="640"/>
      <c r="N155" s="640"/>
      <c r="O155" s="640" t="s">
        <v>359</v>
      </c>
      <c r="P155" s="640" t="s">
        <v>360</v>
      </c>
      <c r="Q155" s="664" t="s">
        <v>361</v>
      </c>
      <c r="R155" s="640" t="s">
        <v>362</v>
      </c>
      <c r="S155" s="640">
        <v>5</v>
      </c>
      <c r="T155" s="640" t="s">
        <v>448</v>
      </c>
      <c r="U155" s="640" t="s">
        <v>449</v>
      </c>
      <c r="V155" s="640" t="s">
        <v>359</v>
      </c>
      <c r="W155" s="640" t="s">
        <v>360</v>
      </c>
      <c r="X155" s="653"/>
      <c r="Y155" s="652"/>
      <c r="Z155" s="652"/>
      <c r="AA155" s="641"/>
      <c r="AB155" s="640"/>
      <c r="AC155" s="640"/>
      <c r="AD155" s="640"/>
      <c r="AE155" s="642" t="s">
        <v>435</v>
      </c>
      <c r="AF155" s="643" t="s">
        <v>105</v>
      </c>
      <c r="AG155" s="648">
        <v>64</v>
      </c>
      <c r="AH155" s="648">
        <v>28</v>
      </c>
      <c r="AI155" s="649">
        <v>2400</v>
      </c>
      <c r="AJ155" s="649">
        <v>432</v>
      </c>
      <c r="AK155" s="649">
        <v>2400</v>
      </c>
      <c r="AL155" s="649">
        <v>0</v>
      </c>
    </row>
    <row r="156" spans="1:38" x14ac:dyDescent="0.2">
      <c r="A156" s="640" t="s">
        <v>125</v>
      </c>
      <c r="B156" s="640">
        <v>44</v>
      </c>
      <c r="C156" s="640">
        <v>44</v>
      </c>
      <c r="D156" s="640" t="s">
        <v>444</v>
      </c>
      <c r="E156" s="640" t="s">
        <v>512</v>
      </c>
      <c r="F156" s="640"/>
      <c r="G156" s="640" t="s">
        <v>511</v>
      </c>
      <c r="H156" s="664" t="s">
        <v>380</v>
      </c>
      <c r="I156" s="640" t="s">
        <v>368</v>
      </c>
      <c r="J156" s="640"/>
      <c r="K156" s="640">
        <v>4</v>
      </c>
      <c r="L156" s="664">
        <v>8</v>
      </c>
      <c r="M156" s="640"/>
      <c r="N156" s="640"/>
      <c r="O156" s="640" t="s">
        <v>359</v>
      </c>
      <c r="P156" s="640" t="s">
        <v>360</v>
      </c>
      <c r="Q156" s="664" t="s">
        <v>361</v>
      </c>
      <c r="R156" s="640" t="s">
        <v>362</v>
      </c>
      <c r="S156" s="640">
        <v>4</v>
      </c>
      <c r="T156" s="640" t="s">
        <v>427</v>
      </c>
      <c r="U156" s="640" t="s">
        <v>428</v>
      </c>
      <c r="V156" s="640" t="s">
        <v>359</v>
      </c>
      <c r="W156" s="640" t="s">
        <v>360</v>
      </c>
      <c r="X156" s="653"/>
      <c r="Y156" s="652"/>
      <c r="Z156" s="652"/>
      <c r="AA156" s="641"/>
      <c r="AB156" s="640"/>
      <c r="AC156" s="640"/>
      <c r="AD156" s="640"/>
      <c r="AE156" s="642" t="s">
        <v>435</v>
      </c>
      <c r="AF156" s="643" t="s">
        <v>105</v>
      </c>
      <c r="AG156" s="648">
        <v>64</v>
      </c>
      <c r="AH156" s="648">
        <v>28</v>
      </c>
      <c r="AI156" s="649">
        <v>2000</v>
      </c>
      <c r="AJ156" s="649">
        <v>288</v>
      </c>
      <c r="AK156" s="649">
        <v>2000</v>
      </c>
      <c r="AL156" s="649">
        <v>0</v>
      </c>
    </row>
    <row r="157" spans="1:38" x14ac:dyDescent="0.2">
      <c r="A157" s="640" t="s">
        <v>125</v>
      </c>
      <c r="B157" s="640">
        <v>48</v>
      </c>
      <c r="C157" s="640">
        <v>48</v>
      </c>
      <c r="D157" s="640" t="s">
        <v>513</v>
      </c>
      <c r="E157" s="640" t="s">
        <v>513</v>
      </c>
      <c r="F157" s="640"/>
      <c r="G157" s="640" t="s">
        <v>407</v>
      </c>
      <c r="H157" s="664" t="s">
        <v>380</v>
      </c>
      <c r="I157" s="640" t="s">
        <v>368</v>
      </c>
      <c r="J157" s="640"/>
      <c r="K157" s="640">
        <v>36</v>
      </c>
      <c r="L157" s="664">
        <v>72</v>
      </c>
      <c r="M157" s="640"/>
      <c r="N157" s="640"/>
      <c r="O157" s="640" t="s">
        <v>359</v>
      </c>
      <c r="P157" s="640" t="s">
        <v>360</v>
      </c>
      <c r="Q157" s="664" t="s">
        <v>361</v>
      </c>
      <c r="R157" s="640" t="s">
        <v>362</v>
      </c>
      <c r="S157" s="640">
        <v>36</v>
      </c>
      <c r="T157" s="640" t="s">
        <v>514</v>
      </c>
      <c r="U157" s="640" t="s">
        <v>515</v>
      </c>
      <c r="V157" s="640" t="s">
        <v>359</v>
      </c>
      <c r="W157" s="640" t="s">
        <v>360</v>
      </c>
      <c r="X157" s="653" t="s">
        <v>364</v>
      </c>
      <c r="Y157" s="652">
        <v>1</v>
      </c>
      <c r="Z157" s="652">
        <v>1</v>
      </c>
      <c r="AA157" s="641"/>
      <c r="AB157" s="640"/>
      <c r="AC157" s="640"/>
      <c r="AD157" s="640"/>
      <c r="AE157" s="642" t="s">
        <v>370</v>
      </c>
      <c r="AF157" s="643" t="s">
        <v>105</v>
      </c>
      <c r="AG157" s="648">
        <v>64</v>
      </c>
      <c r="AH157" s="648">
        <v>28</v>
      </c>
      <c r="AI157" s="649">
        <v>2160</v>
      </c>
      <c r="AJ157" s="649">
        <v>2799.36</v>
      </c>
      <c r="AK157" s="649">
        <v>1728</v>
      </c>
      <c r="AL157" s="649">
        <v>435.45600000000002</v>
      </c>
    </row>
    <row r="158" spans="1:38" x14ac:dyDescent="0.2">
      <c r="A158" s="635" t="s">
        <v>125</v>
      </c>
      <c r="B158" s="635">
        <v>49</v>
      </c>
      <c r="C158" s="635">
        <v>49</v>
      </c>
      <c r="D158" s="635" t="s">
        <v>513</v>
      </c>
      <c r="E158" s="635" t="s">
        <v>516</v>
      </c>
      <c r="F158" s="635"/>
      <c r="G158" s="635" t="s">
        <v>407</v>
      </c>
      <c r="H158" s="664" t="s">
        <v>380</v>
      </c>
      <c r="I158" s="635" t="s">
        <v>368</v>
      </c>
      <c r="J158" s="635"/>
      <c r="K158" s="635">
        <v>36</v>
      </c>
      <c r="L158" s="664">
        <v>72</v>
      </c>
      <c r="M158" s="635"/>
      <c r="N158" s="635"/>
      <c r="O158" s="635" t="s">
        <v>359</v>
      </c>
      <c r="P158" s="635" t="s">
        <v>360</v>
      </c>
      <c r="Q158" s="664" t="s">
        <v>361</v>
      </c>
      <c r="R158" s="635" t="s">
        <v>362</v>
      </c>
      <c r="S158" s="635">
        <v>36</v>
      </c>
      <c r="T158" s="635" t="s">
        <v>514</v>
      </c>
      <c r="U158" s="635" t="s">
        <v>515</v>
      </c>
      <c r="V158" s="635" t="s">
        <v>359</v>
      </c>
      <c r="W158" s="635" t="s">
        <v>360</v>
      </c>
      <c r="X158" s="651" t="s">
        <v>364</v>
      </c>
      <c r="Y158" s="650">
        <v>1</v>
      </c>
      <c r="Z158" s="650">
        <v>1</v>
      </c>
      <c r="AA158" s="636"/>
      <c r="AB158" s="635"/>
      <c r="AC158" s="635"/>
      <c r="AD158" s="635"/>
      <c r="AE158" s="637" t="s">
        <v>370</v>
      </c>
      <c r="AF158" s="638" t="s">
        <v>105</v>
      </c>
      <c r="AG158" s="646">
        <v>64</v>
      </c>
      <c r="AH158" s="646">
        <v>28</v>
      </c>
      <c r="AI158" s="647">
        <v>2160</v>
      </c>
      <c r="AJ158" s="647">
        <v>2799.36</v>
      </c>
      <c r="AK158" s="647">
        <v>1728</v>
      </c>
      <c r="AL158" s="647">
        <v>435.45600000000002</v>
      </c>
    </row>
    <row r="159" spans="1:38" x14ac:dyDescent="0.2">
      <c r="A159" s="640" t="s">
        <v>125</v>
      </c>
      <c r="B159" s="640">
        <v>50</v>
      </c>
      <c r="C159" s="640">
        <v>50</v>
      </c>
      <c r="D159" s="640" t="s">
        <v>513</v>
      </c>
      <c r="E159" s="640" t="s">
        <v>517</v>
      </c>
      <c r="F159" s="640"/>
      <c r="G159" s="640" t="s">
        <v>407</v>
      </c>
      <c r="H159" s="664" t="s">
        <v>380</v>
      </c>
      <c r="I159" s="640" t="s">
        <v>368</v>
      </c>
      <c r="J159" s="640"/>
      <c r="K159" s="640">
        <v>30</v>
      </c>
      <c r="L159" s="664">
        <v>60</v>
      </c>
      <c r="M159" s="640"/>
      <c r="N159" s="640"/>
      <c r="O159" s="640" t="s">
        <v>359</v>
      </c>
      <c r="P159" s="640" t="s">
        <v>360</v>
      </c>
      <c r="Q159" s="664" t="s">
        <v>361</v>
      </c>
      <c r="R159" s="640" t="s">
        <v>362</v>
      </c>
      <c r="S159" s="640">
        <v>30</v>
      </c>
      <c r="T159" s="640" t="s">
        <v>491</v>
      </c>
      <c r="U159" s="640" t="s">
        <v>492</v>
      </c>
      <c r="V159" s="640" t="s">
        <v>359</v>
      </c>
      <c r="W159" s="640" t="s">
        <v>360</v>
      </c>
      <c r="X159" s="653" t="s">
        <v>364</v>
      </c>
      <c r="Y159" s="652">
        <v>1</v>
      </c>
      <c r="Z159" s="652">
        <v>3</v>
      </c>
      <c r="AA159" s="641"/>
      <c r="AB159" s="640"/>
      <c r="AC159" s="640"/>
      <c r="AD159" s="640"/>
      <c r="AE159" s="642" t="s">
        <v>370</v>
      </c>
      <c r="AF159" s="643" t="s">
        <v>105</v>
      </c>
      <c r="AG159" s="648">
        <v>64</v>
      </c>
      <c r="AH159" s="648">
        <v>28</v>
      </c>
      <c r="AI159" s="649">
        <v>2160</v>
      </c>
      <c r="AJ159" s="649">
        <v>2332.8000000000002</v>
      </c>
      <c r="AK159" s="649">
        <v>1728</v>
      </c>
      <c r="AL159" s="649">
        <v>362.88</v>
      </c>
    </row>
    <row r="160" spans="1:38" x14ac:dyDescent="0.2">
      <c r="A160" s="640" t="s">
        <v>125</v>
      </c>
      <c r="B160" s="640">
        <v>52</v>
      </c>
      <c r="C160" s="640">
        <v>52</v>
      </c>
      <c r="D160" s="640" t="s">
        <v>513</v>
      </c>
      <c r="E160" s="640" t="s">
        <v>518</v>
      </c>
      <c r="F160" s="640"/>
      <c r="G160" s="640" t="s">
        <v>407</v>
      </c>
      <c r="H160" s="664" t="s">
        <v>380</v>
      </c>
      <c r="I160" s="640" t="s">
        <v>368</v>
      </c>
      <c r="J160" s="640"/>
      <c r="K160" s="640">
        <v>34</v>
      </c>
      <c r="L160" s="664">
        <v>68</v>
      </c>
      <c r="M160" s="640"/>
      <c r="N160" s="640"/>
      <c r="O160" s="640" t="s">
        <v>359</v>
      </c>
      <c r="P160" s="640" t="s">
        <v>360</v>
      </c>
      <c r="Q160" s="664" t="s">
        <v>361</v>
      </c>
      <c r="R160" s="640" t="s">
        <v>362</v>
      </c>
      <c r="S160" s="640">
        <v>34</v>
      </c>
      <c r="T160" s="640" t="s">
        <v>445</v>
      </c>
      <c r="U160" s="640" t="s">
        <v>446</v>
      </c>
      <c r="V160" s="640" t="s">
        <v>359</v>
      </c>
      <c r="W160" s="640" t="s">
        <v>360</v>
      </c>
      <c r="X160" s="653" t="s">
        <v>364</v>
      </c>
      <c r="Y160" s="652">
        <v>1</v>
      </c>
      <c r="Z160" s="652">
        <v>4</v>
      </c>
      <c r="AA160" s="641"/>
      <c r="AB160" s="640"/>
      <c r="AC160" s="640"/>
      <c r="AD160" s="640"/>
      <c r="AE160" s="642" t="s">
        <v>370</v>
      </c>
      <c r="AF160" s="643" t="s">
        <v>105</v>
      </c>
      <c r="AG160" s="648">
        <v>64</v>
      </c>
      <c r="AH160" s="648">
        <v>28</v>
      </c>
      <c r="AI160" s="649">
        <v>2160</v>
      </c>
      <c r="AJ160" s="649">
        <v>2643.84</v>
      </c>
      <c r="AK160" s="649">
        <v>1728</v>
      </c>
      <c r="AL160" s="649">
        <v>411.26400000000001</v>
      </c>
    </row>
    <row r="161" spans="1:38" x14ac:dyDescent="0.2">
      <c r="A161" s="635" t="s">
        <v>125</v>
      </c>
      <c r="B161" s="635">
        <v>53</v>
      </c>
      <c r="C161" s="635">
        <v>53</v>
      </c>
      <c r="D161" s="635" t="s">
        <v>513</v>
      </c>
      <c r="E161" s="635" t="s">
        <v>513</v>
      </c>
      <c r="F161" s="635"/>
      <c r="G161" s="635" t="s">
        <v>519</v>
      </c>
      <c r="H161" s="664" t="s">
        <v>380</v>
      </c>
      <c r="I161" s="635" t="s">
        <v>368</v>
      </c>
      <c r="J161" s="635"/>
      <c r="K161" s="635">
        <v>12</v>
      </c>
      <c r="L161" s="664">
        <v>24</v>
      </c>
      <c r="M161" s="635"/>
      <c r="N161" s="635"/>
      <c r="O161" s="635" t="s">
        <v>359</v>
      </c>
      <c r="P161" s="635" t="s">
        <v>360</v>
      </c>
      <c r="Q161" s="664" t="s">
        <v>361</v>
      </c>
      <c r="R161" s="635" t="s">
        <v>362</v>
      </c>
      <c r="S161" s="635">
        <v>12</v>
      </c>
      <c r="T161" s="635" t="s">
        <v>439</v>
      </c>
      <c r="U161" s="635" t="s">
        <v>440</v>
      </c>
      <c r="V161" s="635" t="s">
        <v>359</v>
      </c>
      <c r="W161" s="635" t="s">
        <v>360</v>
      </c>
      <c r="X161" s="651" t="s">
        <v>441</v>
      </c>
      <c r="Y161" s="650">
        <v>1</v>
      </c>
      <c r="Z161" s="650">
        <v>1</v>
      </c>
      <c r="AA161" s="636"/>
      <c r="AB161" s="635"/>
      <c r="AC161" s="635"/>
      <c r="AD161" s="635"/>
      <c r="AE161" s="637" t="s">
        <v>370</v>
      </c>
      <c r="AF161" s="638" t="s">
        <v>105</v>
      </c>
      <c r="AG161" s="646">
        <v>64</v>
      </c>
      <c r="AH161" s="646">
        <v>28</v>
      </c>
      <c r="AI161" s="647">
        <v>2520</v>
      </c>
      <c r="AJ161" s="647">
        <v>1088.6400000000001</v>
      </c>
      <c r="AK161" s="647">
        <v>1512</v>
      </c>
      <c r="AL161" s="647">
        <v>338.68799999999999</v>
      </c>
    </row>
    <row r="162" spans="1:38" x14ac:dyDescent="0.2">
      <c r="A162" s="635" t="s">
        <v>125</v>
      </c>
      <c r="B162" s="635">
        <v>55</v>
      </c>
      <c r="C162" s="635">
        <v>55</v>
      </c>
      <c r="D162" s="635" t="s">
        <v>520</v>
      </c>
      <c r="E162" s="635" t="s">
        <v>520</v>
      </c>
      <c r="F162" s="635"/>
      <c r="G162" s="635" t="s">
        <v>367</v>
      </c>
      <c r="H162" s="664" t="s">
        <v>380</v>
      </c>
      <c r="I162" s="635" t="s">
        <v>368</v>
      </c>
      <c r="J162" s="635"/>
      <c r="K162" s="635">
        <v>4</v>
      </c>
      <c r="L162" s="664">
        <v>8</v>
      </c>
      <c r="M162" s="635"/>
      <c r="N162" s="635"/>
      <c r="O162" s="635" t="s">
        <v>359</v>
      </c>
      <c r="P162" s="635" t="s">
        <v>360</v>
      </c>
      <c r="Q162" s="664" t="s">
        <v>361</v>
      </c>
      <c r="R162" s="635" t="s">
        <v>362</v>
      </c>
      <c r="S162" s="635">
        <v>4</v>
      </c>
      <c r="T162" s="635" t="s">
        <v>427</v>
      </c>
      <c r="U162" s="635" t="s">
        <v>428</v>
      </c>
      <c r="V162" s="635" t="s">
        <v>359</v>
      </c>
      <c r="W162" s="635" t="s">
        <v>360</v>
      </c>
      <c r="X162" s="651" t="s">
        <v>369</v>
      </c>
      <c r="Y162" s="650">
        <v>1</v>
      </c>
      <c r="Z162" s="650">
        <v>2</v>
      </c>
      <c r="AA162" s="636"/>
      <c r="AB162" s="635"/>
      <c r="AC162" s="635"/>
      <c r="AD162" s="635"/>
      <c r="AE162" s="637" t="s">
        <v>370</v>
      </c>
      <c r="AF162" s="638" t="s">
        <v>105</v>
      </c>
      <c r="AG162" s="646">
        <v>64</v>
      </c>
      <c r="AH162" s="646">
        <v>28</v>
      </c>
      <c r="AI162" s="647">
        <v>2520</v>
      </c>
      <c r="AJ162" s="647">
        <v>362.88</v>
      </c>
      <c r="AK162" s="647">
        <v>2016</v>
      </c>
      <c r="AL162" s="647">
        <v>56.448</v>
      </c>
    </row>
    <row r="163" spans="1:38" x14ac:dyDescent="0.2">
      <c r="A163" s="635" t="s">
        <v>125</v>
      </c>
      <c r="B163" s="635">
        <v>57</v>
      </c>
      <c r="C163" s="635">
        <v>57</v>
      </c>
      <c r="D163" s="635" t="s">
        <v>520</v>
      </c>
      <c r="E163" s="635" t="s">
        <v>520</v>
      </c>
      <c r="F163" s="635"/>
      <c r="G163" s="635" t="s">
        <v>519</v>
      </c>
      <c r="H163" s="664" t="s">
        <v>380</v>
      </c>
      <c r="I163" s="635" t="s">
        <v>368</v>
      </c>
      <c r="J163" s="635"/>
      <c r="K163" s="635">
        <v>40</v>
      </c>
      <c r="L163" s="664">
        <v>80</v>
      </c>
      <c r="M163" s="635"/>
      <c r="N163" s="635"/>
      <c r="O163" s="635" t="s">
        <v>359</v>
      </c>
      <c r="P163" s="635" t="s">
        <v>360</v>
      </c>
      <c r="Q163" s="664" t="s">
        <v>361</v>
      </c>
      <c r="R163" s="635" t="s">
        <v>362</v>
      </c>
      <c r="S163" s="635">
        <v>40</v>
      </c>
      <c r="T163" s="635" t="s">
        <v>403</v>
      </c>
      <c r="U163" s="635" t="s">
        <v>404</v>
      </c>
      <c r="V163" s="635" t="s">
        <v>359</v>
      </c>
      <c r="W163" s="635" t="s">
        <v>360</v>
      </c>
      <c r="X163" s="651"/>
      <c r="Y163" s="650"/>
      <c r="Z163" s="650"/>
      <c r="AA163" s="636"/>
      <c r="AB163" s="635"/>
      <c r="AC163" s="635"/>
      <c r="AD163" s="635"/>
      <c r="AE163" s="637" t="s">
        <v>370</v>
      </c>
      <c r="AF163" s="638" t="s">
        <v>105</v>
      </c>
      <c r="AG163" s="646">
        <v>64</v>
      </c>
      <c r="AH163" s="646">
        <v>28</v>
      </c>
      <c r="AI163" s="647">
        <v>2520</v>
      </c>
      <c r="AJ163" s="647">
        <v>3628.8</v>
      </c>
      <c r="AK163" s="647">
        <v>2520</v>
      </c>
      <c r="AL163" s="647">
        <v>0</v>
      </c>
    </row>
    <row r="164" spans="1:38" x14ac:dyDescent="0.2">
      <c r="A164" s="640" t="s">
        <v>125</v>
      </c>
      <c r="B164" s="640">
        <v>58</v>
      </c>
      <c r="C164" s="640">
        <v>58</v>
      </c>
      <c r="D164" s="640" t="s">
        <v>520</v>
      </c>
      <c r="E164" s="640" t="s">
        <v>521</v>
      </c>
      <c r="F164" s="640"/>
      <c r="G164" s="640" t="s">
        <v>407</v>
      </c>
      <c r="H164" s="664" t="s">
        <v>380</v>
      </c>
      <c r="I164" s="640" t="s">
        <v>368</v>
      </c>
      <c r="J164" s="640"/>
      <c r="K164" s="640">
        <v>11</v>
      </c>
      <c r="L164" s="664">
        <v>22</v>
      </c>
      <c r="M164" s="640"/>
      <c r="N164" s="640"/>
      <c r="O164" s="640" t="s">
        <v>359</v>
      </c>
      <c r="P164" s="640" t="s">
        <v>360</v>
      </c>
      <c r="Q164" s="664" t="s">
        <v>361</v>
      </c>
      <c r="R164" s="640" t="s">
        <v>362</v>
      </c>
      <c r="S164" s="640">
        <v>11</v>
      </c>
      <c r="T164" s="640" t="s">
        <v>522</v>
      </c>
      <c r="U164" s="640" t="s">
        <v>523</v>
      </c>
      <c r="V164" s="640" t="s">
        <v>359</v>
      </c>
      <c r="W164" s="640" t="s">
        <v>360</v>
      </c>
      <c r="X164" s="653" t="s">
        <v>364</v>
      </c>
      <c r="Y164" s="652">
        <v>1</v>
      </c>
      <c r="Z164" s="652">
        <v>1</v>
      </c>
      <c r="AA164" s="641"/>
      <c r="AB164" s="640"/>
      <c r="AC164" s="640"/>
      <c r="AD164" s="640"/>
      <c r="AE164" s="642" t="s">
        <v>370</v>
      </c>
      <c r="AF164" s="643" t="s">
        <v>105</v>
      </c>
      <c r="AG164" s="648">
        <v>64</v>
      </c>
      <c r="AH164" s="648">
        <v>28</v>
      </c>
      <c r="AI164" s="649">
        <v>2160</v>
      </c>
      <c r="AJ164" s="649">
        <v>855.36</v>
      </c>
      <c r="AK164" s="649">
        <v>1728</v>
      </c>
      <c r="AL164" s="649">
        <v>133.05600000000001</v>
      </c>
    </row>
    <row r="165" spans="1:38" x14ac:dyDescent="0.2">
      <c r="A165" s="635" t="s">
        <v>125</v>
      </c>
      <c r="B165" s="635">
        <v>59</v>
      </c>
      <c r="C165" s="635">
        <v>59</v>
      </c>
      <c r="D165" s="635" t="s">
        <v>520</v>
      </c>
      <c r="E165" s="635" t="s">
        <v>520</v>
      </c>
      <c r="F165" s="635"/>
      <c r="G165" s="635" t="s">
        <v>483</v>
      </c>
      <c r="H165" s="664" t="s">
        <v>380</v>
      </c>
      <c r="I165" s="635" t="s">
        <v>368</v>
      </c>
      <c r="J165" s="635"/>
      <c r="K165" s="635">
        <v>13</v>
      </c>
      <c r="L165" s="664">
        <v>26</v>
      </c>
      <c r="M165" s="635"/>
      <c r="N165" s="635"/>
      <c r="O165" s="635" t="s">
        <v>359</v>
      </c>
      <c r="P165" s="635" t="s">
        <v>360</v>
      </c>
      <c r="Q165" s="664" t="s">
        <v>361</v>
      </c>
      <c r="R165" s="635" t="s">
        <v>362</v>
      </c>
      <c r="S165" s="635">
        <v>13</v>
      </c>
      <c r="T165" s="635" t="s">
        <v>524</v>
      </c>
      <c r="U165" s="635" t="s">
        <v>525</v>
      </c>
      <c r="V165" s="635" t="s">
        <v>359</v>
      </c>
      <c r="W165" s="635" t="s">
        <v>360</v>
      </c>
      <c r="X165" s="651"/>
      <c r="Y165" s="650"/>
      <c r="Z165" s="650"/>
      <c r="AA165" s="636"/>
      <c r="AB165" s="635"/>
      <c r="AC165" s="635"/>
      <c r="AD165" s="635"/>
      <c r="AE165" s="637" t="s">
        <v>370</v>
      </c>
      <c r="AF165" s="638" t="s">
        <v>105</v>
      </c>
      <c r="AG165" s="646">
        <v>64</v>
      </c>
      <c r="AH165" s="646">
        <v>28</v>
      </c>
      <c r="AI165" s="647">
        <v>2400</v>
      </c>
      <c r="AJ165" s="647">
        <v>1123.2</v>
      </c>
      <c r="AK165" s="647">
        <v>2400</v>
      </c>
      <c r="AL165" s="647">
        <v>0</v>
      </c>
    </row>
    <row r="166" spans="1:38" x14ac:dyDescent="0.2">
      <c r="A166" s="640" t="s">
        <v>125</v>
      </c>
      <c r="B166" s="640">
        <v>60</v>
      </c>
      <c r="C166" s="640">
        <v>60</v>
      </c>
      <c r="D166" s="640" t="s">
        <v>520</v>
      </c>
      <c r="E166" s="640" t="s">
        <v>526</v>
      </c>
      <c r="F166" s="640"/>
      <c r="G166" s="640" t="s">
        <v>407</v>
      </c>
      <c r="H166" s="664" t="s">
        <v>380</v>
      </c>
      <c r="I166" s="640" t="s">
        <v>368</v>
      </c>
      <c r="J166" s="640"/>
      <c r="K166" s="640">
        <v>12</v>
      </c>
      <c r="L166" s="664">
        <v>24</v>
      </c>
      <c r="M166" s="640"/>
      <c r="N166" s="640"/>
      <c r="O166" s="640" t="s">
        <v>359</v>
      </c>
      <c r="P166" s="640" t="s">
        <v>360</v>
      </c>
      <c r="Q166" s="664" t="s">
        <v>361</v>
      </c>
      <c r="R166" s="640" t="s">
        <v>362</v>
      </c>
      <c r="S166" s="640">
        <v>12</v>
      </c>
      <c r="T166" s="640" t="s">
        <v>439</v>
      </c>
      <c r="U166" s="640" t="s">
        <v>440</v>
      </c>
      <c r="V166" s="640" t="s">
        <v>359</v>
      </c>
      <c r="W166" s="640" t="s">
        <v>360</v>
      </c>
      <c r="X166" s="653" t="s">
        <v>364</v>
      </c>
      <c r="Y166" s="652">
        <v>1</v>
      </c>
      <c r="Z166" s="652">
        <v>1</v>
      </c>
      <c r="AA166" s="641"/>
      <c r="AB166" s="640"/>
      <c r="AC166" s="640"/>
      <c r="AD166" s="640"/>
      <c r="AE166" s="642" t="s">
        <v>370</v>
      </c>
      <c r="AF166" s="643" t="s">
        <v>105</v>
      </c>
      <c r="AG166" s="648">
        <v>64</v>
      </c>
      <c r="AH166" s="648">
        <v>28</v>
      </c>
      <c r="AI166" s="649">
        <v>2160</v>
      </c>
      <c r="AJ166" s="649">
        <v>933.12</v>
      </c>
      <c r="AK166" s="649">
        <v>1728</v>
      </c>
      <c r="AL166" s="649">
        <v>145.15199999999999</v>
      </c>
    </row>
    <row r="167" spans="1:38" x14ac:dyDescent="0.2">
      <c r="A167" s="635" t="s">
        <v>125</v>
      </c>
      <c r="B167" s="635">
        <v>61</v>
      </c>
      <c r="C167" s="635">
        <v>61</v>
      </c>
      <c r="D167" s="635" t="s">
        <v>520</v>
      </c>
      <c r="E167" s="635" t="s">
        <v>527</v>
      </c>
      <c r="F167" s="635"/>
      <c r="G167" s="635" t="s">
        <v>407</v>
      </c>
      <c r="H167" s="664" t="s">
        <v>380</v>
      </c>
      <c r="I167" s="635" t="s">
        <v>368</v>
      </c>
      <c r="J167" s="635"/>
      <c r="K167" s="635">
        <v>12</v>
      </c>
      <c r="L167" s="664">
        <v>24</v>
      </c>
      <c r="M167" s="635"/>
      <c r="N167" s="635"/>
      <c r="O167" s="635" t="s">
        <v>359</v>
      </c>
      <c r="P167" s="635" t="s">
        <v>360</v>
      </c>
      <c r="Q167" s="664" t="s">
        <v>361</v>
      </c>
      <c r="R167" s="635" t="s">
        <v>362</v>
      </c>
      <c r="S167" s="635">
        <v>12</v>
      </c>
      <c r="T167" s="635" t="s">
        <v>439</v>
      </c>
      <c r="U167" s="635" t="s">
        <v>440</v>
      </c>
      <c r="V167" s="635" t="s">
        <v>359</v>
      </c>
      <c r="W167" s="635" t="s">
        <v>360</v>
      </c>
      <c r="X167" s="651" t="s">
        <v>364</v>
      </c>
      <c r="Y167" s="650">
        <v>1</v>
      </c>
      <c r="Z167" s="650">
        <v>1</v>
      </c>
      <c r="AA167" s="636"/>
      <c r="AB167" s="635"/>
      <c r="AC167" s="635"/>
      <c r="AD167" s="635"/>
      <c r="AE167" s="637" t="s">
        <v>370</v>
      </c>
      <c r="AF167" s="638" t="s">
        <v>105</v>
      </c>
      <c r="AG167" s="646">
        <v>64</v>
      </c>
      <c r="AH167" s="646">
        <v>28</v>
      </c>
      <c r="AI167" s="647">
        <v>2160</v>
      </c>
      <c r="AJ167" s="647">
        <v>933.12</v>
      </c>
      <c r="AK167" s="647">
        <v>1728</v>
      </c>
      <c r="AL167" s="647">
        <v>145.15199999999999</v>
      </c>
    </row>
    <row r="168" spans="1:38" x14ac:dyDescent="0.2">
      <c r="A168" s="640" t="s">
        <v>125</v>
      </c>
      <c r="B168" s="640">
        <v>62</v>
      </c>
      <c r="C168" s="640">
        <v>62</v>
      </c>
      <c r="D168" s="640" t="s">
        <v>520</v>
      </c>
      <c r="E168" s="640" t="s">
        <v>528</v>
      </c>
      <c r="F168" s="640"/>
      <c r="G168" s="640" t="s">
        <v>407</v>
      </c>
      <c r="H168" s="664" t="s">
        <v>380</v>
      </c>
      <c r="I168" s="640" t="s">
        <v>368</v>
      </c>
      <c r="J168" s="640"/>
      <c r="K168" s="640">
        <v>12</v>
      </c>
      <c r="L168" s="664">
        <v>24</v>
      </c>
      <c r="M168" s="640"/>
      <c r="N168" s="640"/>
      <c r="O168" s="640" t="s">
        <v>359</v>
      </c>
      <c r="P168" s="640" t="s">
        <v>360</v>
      </c>
      <c r="Q168" s="664" t="s">
        <v>361</v>
      </c>
      <c r="R168" s="640" t="s">
        <v>362</v>
      </c>
      <c r="S168" s="640">
        <v>12</v>
      </c>
      <c r="T168" s="640" t="s">
        <v>439</v>
      </c>
      <c r="U168" s="640" t="s">
        <v>440</v>
      </c>
      <c r="V168" s="640" t="s">
        <v>359</v>
      </c>
      <c r="W168" s="640" t="s">
        <v>360</v>
      </c>
      <c r="X168" s="653" t="s">
        <v>364</v>
      </c>
      <c r="Y168" s="652">
        <v>1</v>
      </c>
      <c r="Z168" s="652">
        <v>1</v>
      </c>
      <c r="AA168" s="641"/>
      <c r="AB168" s="640"/>
      <c r="AC168" s="640"/>
      <c r="AD168" s="640"/>
      <c r="AE168" s="642" t="s">
        <v>370</v>
      </c>
      <c r="AF168" s="643" t="s">
        <v>105</v>
      </c>
      <c r="AG168" s="648">
        <v>64</v>
      </c>
      <c r="AH168" s="648">
        <v>28</v>
      </c>
      <c r="AI168" s="649">
        <v>2160</v>
      </c>
      <c r="AJ168" s="649">
        <v>933.12</v>
      </c>
      <c r="AK168" s="649">
        <v>1728</v>
      </c>
      <c r="AL168" s="649">
        <v>145.15199999999999</v>
      </c>
    </row>
    <row r="169" spans="1:38" x14ac:dyDescent="0.2">
      <c r="A169" s="635" t="s">
        <v>125</v>
      </c>
      <c r="B169" s="635">
        <v>63</v>
      </c>
      <c r="C169" s="635">
        <v>63</v>
      </c>
      <c r="D169" s="635" t="s">
        <v>520</v>
      </c>
      <c r="E169" s="635" t="s">
        <v>529</v>
      </c>
      <c r="F169" s="635"/>
      <c r="G169" s="635" t="s">
        <v>407</v>
      </c>
      <c r="H169" s="664" t="s">
        <v>380</v>
      </c>
      <c r="I169" s="635" t="s">
        <v>368</v>
      </c>
      <c r="J169" s="635"/>
      <c r="K169" s="635">
        <v>12</v>
      </c>
      <c r="L169" s="664">
        <v>24</v>
      </c>
      <c r="M169" s="635"/>
      <c r="N169" s="635"/>
      <c r="O169" s="635" t="s">
        <v>359</v>
      </c>
      <c r="P169" s="635" t="s">
        <v>360</v>
      </c>
      <c r="Q169" s="664" t="s">
        <v>361</v>
      </c>
      <c r="R169" s="635" t="s">
        <v>362</v>
      </c>
      <c r="S169" s="635">
        <v>12</v>
      </c>
      <c r="T169" s="635" t="s">
        <v>439</v>
      </c>
      <c r="U169" s="635" t="s">
        <v>440</v>
      </c>
      <c r="V169" s="635" t="s">
        <v>359</v>
      </c>
      <c r="W169" s="635" t="s">
        <v>360</v>
      </c>
      <c r="X169" s="651" t="s">
        <v>364</v>
      </c>
      <c r="Y169" s="650">
        <v>1</v>
      </c>
      <c r="Z169" s="650">
        <v>1</v>
      </c>
      <c r="AA169" s="636"/>
      <c r="AB169" s="635"/>
      <c r="AC169" s="635"/>
      <c r="AD169" s="635"/>
      <c r="AE169" s="637" t="s">
        <v>370</v>
      </c>
      <c r="AF169" s="638" t="s">
        <v>105</v>
      </c>
      <c r="AG169" s="646">
        <v>64</v>
      </c>
      <c r="AH169" s="646">
        <v>28</v>
      </c>
      <c r="AI169" s="647">
        <v>2160</v>
      </c>
      <c r="AJ169" s="647">
        <v>933.12</v>
      </c>
      <c r="AK169" s="647">
        <v>1728</v>
      </c>
      <c r="AL169" s="647">
        <v>145.15199999999999</v>
      </c>
    </row>
    <row r="170" spans="1:38" x14ac:dyDescent="0.2">
      <c r="A170" s="640" t="s">
        <v>125</v>
      </c>
      <c r="B170" s="640">
        <v>64</v>
      </c>
      <c r="C170" s="640">
        <v>64</v>
      </c>
      <c r="D170" s="640" t="s">
        <v>520</v>
      </c>
      <c r="E170" s="640" t="s">
        <v>530</v>
      </c>
      <c r="F170" s="640"/>
      <c r="G170" s="640" t="s">
        <v>407</v>
      </c>
      <c r="H170" s="664" t="s">
        <v>380</v>
      </c>
      <c r="I170" s="640" t="s">
        <v>368</v>
      </c>
      <c r="J170" s="640"/>
      <c r="K170" s="640">
        <v>12</v>
      </c>
      <c r="L170" s="664">
        <v>24</v>
      </c>
      <c r="M170" s="640"/>
      <c r="N170" s="640"/>
      <c r="O170" s="640" t="s">
        <v>359</v>
      </c>
      <c r="P170" s="640" t="s">
        <v>360</v>
      </c>
      <c r="Q170" s="664" t="s">
        <v>361</v>
      </c>
      <c r="R170" s="640" t="s">
        <v>362</v>
      </c>
      <c r="S170" s="640">
        <v>12</v>
      </c>
      <c r="T170" s="640" t="s">
        <v>439</v>
      </c>
      <c r="U170" s="640" t="s">
        <v>440</v>
      </c>
      <c r="V170" s="640" t="s">
        <v>359</v>
      </c>
      <c r="W170" s="640" t="s">
        <v>360</v>
      </c>
      <c r="X170" s="653" t="s">
        <v>364</v>
      </c>
      <c r="Y170" s="652">
        <v>1</v>
      </c>
      <c r="Z170" s="652">
        <v>1</v>
      </c>
      <c r="AA170" s="641"/>
      <c r="AB170" s="640"/>
      <c r="AC170" s="640"/>
      <c r="AD170" s="640"/>
      <c r="AE170" s="642" t="s">
        <v>370</v>
      </c>
      <c r="AF170" s="643" t="s">
        <v>105</v>
      </c>
      <c r="AG170" s="648">
        <v>64</v>
      </c>
      <c r="AH170" s="648">
        <v>28</v>
      </c>
      <c r="AI170" s="649">
        <v>2160</v>
      </c>
      <c r="AJ170" s="649">
        <v>933.12</v>
      </c>
      <c r="AK170" s="649">
        <v>1728</v>
      </c>
      <c r="AL170" s="649">
        <v>145.15199999999999</v>
      </c>
    </row>
    <row r="171" spans="1:38" x14ac:dyDescent="0.2">
      <c r="A171" s="635" t="s">
        <v>125</v>
      </c>
      <c r="B171" s="635">
        <v>65</v>
      </c>
      <c r="C171" s="635">
        <v>65</v>
      </c>
      <c r="D171" s="635" t="s">
        <v>520</v>
      </c>
      <c r="E171" s="635" t="s">
        <v>531</v>
      </c>
      <c r="F171" s="635"/>
      <c r="G171" s="635" t="s">
        <v>407</v>
      </c>
      <c r="H171" s="664" t="s">
        <v>380</v>
      </c>
      <c r="I171" s="635" t="s">
        <v>368</v>
      </c>
      <c r="J171" s="635"/>
      <c r="K171" s="635">
        <v>12</v>
      </c>
      <c r="L171" s="664">
        <v>24</v>
      </c>
      <c r="M171" s="635"/>
      <c r="N171" s="635"/>
      <c r="O171" s="635" t="s">
        <v>359</v>
      </c>
      <c r="P171" s="635" t="s">
        <v>360</v>
      </c>
      <c r="Q171" s="664" t="s">
        <v>361</v>
      </c>
      <c r="R171" s="635" t="s">
        <v>362</v>
      </c>
      <c r="S171" s="635">
        <v>12</v>
      </c>
      <c r="T171" s="635" t="s">
        <v>439</v>
      </c>
      <c r="U171" s="635" t="s">
        <v>440</v>
      </c>
      <c r="V171" s="635" t="s">
        <v>359</v>
      </c>
      <c r="W171" s="635" t="s">
        <v>360</v>
      </c>
      <c r="X171" s="651" t="s">
        <v>364</v>
      </c>
      <c r="Y171" s="650">
        <v>1</v>
      </c>
      <c r="Z171" s="650">
        <v>1</v>
      </c>
      <c r="AA171" s="636"/>
      <c r="AB171" s="635"/>
      <c r="AC171" s="635"/>
      <c r="AD171" s="635"/>
      <c r="AE171" s="637" t="s">
        <v>370</v>
      </c>
      <c r="AF171" s="638" t="s">
        <v>105</v>
      </c>
      <c r="AG171" s="646">
        <v>64</v>
      </c>
      <c r="AH171" s="646">
        <v>28</v>
      </c>
      <c r="AI171" s="647">
        <v>2160</v>
      </c>
      <c r="AJ171" s="647">
        <v>933.12</v>
      </c>
      <c r="AK171" s="647">
        <v>1728</v>
      </c>
      <c r="AL171" s="647">
        <v>145.15199999999999</v>
      </c>
    </row>
    <row r="172" spans="1:38" x14ac:dyDescent="0.2">
      <c r="A172" s="640" t="s">
        <v>125</v>
      </c>
      <c r="B172" s="640">
        <v>66</v>
      </c>
      <c r="C172" s="640">
        <v>66</v>
      </c>
      <c r="D172" s="640" t="s">
        <v>520</v>
      </c>
      <c r="E172" s="640" t="s">
        <v>532</v>
      </c>
      <c r="F172" s="640"/>
      <c r="G172" s="640" t="s">
        <v>407</v>
      </c>
      <c r="H172" s="664" t="s">
        <v>380</v>
      </c>
      <c r="I172" s="640" t="s">
        <v>368</v>
      </c>
      <c r="J172" s="640"/>
      <c r="K172" s="640">
        <v>12</v>
      </c>
      <c r="L172" s="664">
        <v>24</v>
      </c>
      <c r="M172" s="640"/>
      <c r="N172" s="640"/>
      <c r="O172" s="640" t="s">
        <v>359</v>
      </c>
      <c r="P172" s="640" t="s">
        <v>360</v>
      </c>
      <c r="Q172" s="664" t="s">
        <v>361</v>
      </c>
      <c r="R172" s="640" t="s">
        <v>362</v>
      </c>
      <c r="S172" s="640">
        <v>12</v>
      </c>
      <c r="T172" s="640" t="s">
        <v>439</v>
      </c>
      <c r="U172" s="640" t="s">
        <v>440</v>
      </c>
      <c r="V172" s="640" t="s">
        <v>359</v>
      </c>
      <c r="W172" s="640" t="s">
        <v>360</v>
      </c>
      <c r="X172" s="653" t="s">
        <v>364</v>
      </c>
      <c r="Y172" s="652">
        <v>1</v>
      </c>
      <c r="Z172" s="652">
        <v>1</v>
      </c>
      <c r="AA172" s="641"/>
      <c r="AB172" s="640"/>
      <c r="AC172" s="640"/>
      <c r="AD172" s="640"/>
      <c r="AE172" s="642" t="s">
        <v>370</v>
      </c>
      <c r="AF172" s="643" t="s">
        <v>105</v>
      </c>
      <c r="AG172" s="648">
        <v>64</v>
      </c>
      <c r="AH172" s="648">
        <v>28</v>
      </c>
      <c r="AI172" s="649">
        <v>2160</v>
      </c>
      <c r="AJ172" s="649">
        <v>933.12</v>
      </c>
      <c r="AK172" s="649">
        <v>1728</v>
      </c>
      <c r="AL172" s="649">
        <v>145.15199999999999</v>
      </c>
    </row>
    <row r="173" spans="1:38" x14ac:dyDescent="0.2">
      <c r="A173" s="640" t="s">
        <v>125</v>
      </c>
      <c r="B173" s="640">
        <v>72</v>
      </c>
      <c r="C173" s="640">
        <v>72</v>
      </c>
      <c r="D173" s="640" t="s">
        <v>533</v>
      </c>
      <c r="E173" s="640" t="s">
        <v>533</v>
      </c>
      <c r="F173" s="640"/>
      <c r="G173" s="640" t="s">
        <v>407</v>
      </c>
      <c r="H173" s="664" t="s">
        <v>380</v>
      </c>
      <c r="I173" s="640" t="s">
        <v>368</v>
      </c>
      <c r="J173" s="640"/>
      <c r="K173" s="640">
        <v>2</v>
      </c>
      <c r="L173" s="664">
        <v>4</v>
      </c>
      <c r="M173" s="640"/>
      <c r="N173" s="640"/>
      <c r="O173" s="640" t="s">
        <v>359</v>
      </c>
      <c r="P173" s="640" t="s">
        <v>360</v>
      </c>
      <c r="Q173" s="664" t="s">
        <v>361</v>
      </c>
      <c r="R173" s="640" t="s">
        <v>362</v>
      </c>
      <c r="S173" s="640">
        <v>2</v>
      </c>
      <c r="T173" s="640" t="s">
        <v>391</v>
      </c>
      <c r="U173" s="640" t="s">
        <v>392</v>
      </c>
      <c r="V173" s="640" t="s">
        <v>359</v>
      </c>
      <c r="W173" s="640" t="s">
        <v>360</v>
      </c>
      <c r="X173" s="653"/>
      <c r="Y173" s="652"/>
      <c r="Z173" s="652"/>
      <c r="AA173" s="641"/>
      <c r="AB173" s="640"/>
      <c r="AC173" s="640"/>
      <c r="AD173" s="640"/>
      <c r="AE173" s="642" t="s">
        <v>435</v>
      </c>
      <c r="AF173" s="643" t="s">
        <v>105</v>
      </c>
      <c r="AG173" s="648">
        <v>64</v>
      </c>
      <c r="AH173" s="648">
        <v>28</v>
      </c>
      <c r="AI173" s="649">
        <v>2160</v>
      </c>
      <c r="AJ173" s="649">
        <v>155.52000000000001</v>
      </c>
      <c r="AK173" s="649">
        <v>2160</v>
      </c>
      <c r="AL173" s="649">
        <v>0</v>
      </c>
    </row>
    <row r="174" spans="1:38" x14ac:dyDescent="0.2">
      <c r="A174" s="635" t="s">
        <v>125</v>
      </c>
      <c r="B174" s="635">
        <v>75</v>
      </c>
      <c r="C174" s="635">
        <v>75</v>
      </c>
      <c r="D174" s="635" t="s">
        <v>533</v>
      </c>
      <c r="E174" s="635" t="s">
        <v>534</v>
      </c>
      <c r="F174" s="635"/>
      <c r="G174" s="635" t="s">
        <v>407</v>
      </c>
      <c r="H174" s="664" t="s">
        <v>380</v>
      </c>
      <c r="I174" s="635" t="s">
        <v>368</v>
      </c>
      <c r="J174" s="635"/>
      <c r="K174" s="635">
        <v>7</v>
      </c>
      <c r="L174" s="664">
        <v>14</v>
      </c>
      <c r="M174" s="635"/>
      <c r="N174" s="635"/>
      <c r="O174" s="635" t="s">
        <v>359</v>
      </c>
      <c r="P174" s="635" t="s">
        <v>360</v>
      </c>
      <c r="Q174" s="664" t="s">
        <v>361</v>
      </c>
      <c r="R174" s="635" t="s">
        <v>362</v>
      </c>
      <c r="S174" s="635">
        <v>7</v>
      </c>
      <c r="T174" s="635" t="s">
        <v>535</v>
      </c>
      <c r="U174" s="635" t="s">
        <v>536</v>
      </c>
      <c r="V174" s="635" t="s">
        <v>359</v>
      </c>
      <c r="W174" s="635" t="s">
        <v>360</v>
      </c>
      <c r="X174" s="651"/>
      <c r="Y174" s="650"/>
      <c r="Z174" s="650"/>
      <c r="AA174" s="636"/>
      <c r="AB174" s="635"/>
      <c r="AC174" s="635"/>
      <c r="AD174" s="635"/>
      <c r="AE174" s="637" t="s">
        <v>537</v>
      </c>
      <c r="AF174" s="638" t="s">
        <v>105</v>
      </c>
      <c r="AG174" s="646">
        <v>64</v>
      </c>
      <c r="AH174" s="646">
        <v>28</v>
      </c>
      <c r="AI174" s="647">
        <v>2160</v>
      </c>
      <c r="AJ174" s="647">
        <v>544.32000000000005</v>
      </c>
      <c r="AK174" s="647">
        <v>2160</v>
      </c>
      <c r="AL174" s="647">
        <v>0</v>
      </c>
    </row>
    <row r="175" spans="1:38" x14ac:dyDescent="0.2">
      <c r="A175" s="640" t="s">
        <v>125</v>
      </c>
      <c r="B175" s="640">
        <v>76</v>
      </c>
      <c r="C175" s="640">
        <v>76</v>
      </c>
      <c r="D175" s="640" t="s">
        <v>533</v>
      </c>
      <c r="E175" s="640" t="s">
        <v>538</v>
      </c>
      <c r="F175" s="640"/>
      <c r="G175" s="640" t="s">
        <v>407</v>
      </c>
      <c r="H175" s="664" t="s">
        <v>380</v>
      </c>
      <c r="I175" s="640" t="s">
        <v>490</v>
      </c>
      <c r="J175" s="640"/>
      <c r="K175" s="640">
        <v>12</v>
      </c>
      <c r="L175" s="664">
        <v>24</v>
      </c>
      <c r="M175" s="640"/>
      <c r="N175" s="640"/>
      <c r="O175" s="640" t="s">
        <v>359</v>
      </c>
      <c r="P175" s="640" t="s">
        <v>360</v>
      </c>
      <c r="Q175" s="664" t="s">
        <v>361</v>
      </c>
      <c r="R175" s="640" t="s">
        <v>362</v>
      </c>
      <c r="S175" s="640">
        <v>12</v>
      </c>
      <c r="T175" s="640" t="s">
        <v>439</v>
      </c>
      <c r="U175" s="640" t="s">
        <v>440</v>
      </c>
      <c r="V175" s="640" t="s">
        <v>359</v>
      </c>
      <c r="W175" s="640" t="s">
        <v>360</v>
      </c>
      <c r="X175" s="653" t="s">
        <v>364</v>
      </c>
      <c r="Y175" s="652">
        <v>1</v>
      </c>
      <c r="Z175" s="652">
        <v>1</v>
      </c>
      <c r="AA175" s="641"/>
      <c r="AB175" s="640"/>
      <c r="AC175" s="640"/>
      <c r="AD175" s="640"/>
      <c r="AE175" s="642" t="s">
        <v>450</v>
      </c>
      <c r="AF175" s="643" t="s">
        <v>105</v>
      </c>
      <c r="AG175" s="648">
        <v>64</v>
      </c>
      <c r="AH175" s="648">
        <v>28</v>
      </c>
      <c r="AI175" s="649">
        <v>2160</v>
      </c>
      <c r="AJ175" s="649">
        <v>933.12</v>
      </c>
      <c r="AK175" s="649">
        <v>1728</v>
      </c>
      <c r="AL175" s="649">
        <v>145.15199999999999</v>
      </c>
    </row>
    <row r="176" spans="1:38" x14ac:dyDescent="0.2">
      <c r="A176" s="640" t="s">
        <v>125</v>
      </c>
      <c r="B176" s="640">
        <v>84</v>
      </c>
      <c r="C176" s="640">
        <v>84</v>
      </c>
      <c r="D176" s="640" t="s">
        <v>539</v>
      </c>
      <c r="E176" s="640" t="s">
        <v>540</v>
      </c>
      <c r="F176" s="640"/>
      <c r="G176" s="640" t="s">
        <v>434</v>
      </c>
      <c r="H176" s="664" t="s">
        <v>380</v>
      </c>
      <c r="I176" s="640" t="s">
        <v>358</v>
      </c>
      <c r="J176" s="640"/>
      <c r="K176" s="640">
        <v>12</v>
      </c>
      <c r="L176" s="664">
        <v>24</v>
      </c>
      <c r="M176" s="640"/>
      <c r="N176" s="640"/>
      <c r="O176" s="640" t="s">
        <v>359</v>
      </c>
      <c r="P176" s="640" t="s">
        <v>360</v>
      </c>
      <c r="Q176" s="664" t="s">
        <v>361</v>
      </c>
      <c r="R176" s="640" t="s">
        <v>362</v>
      </c>
      <c r="S176" s="640">
        <v>12</v>
      </c>
      <c r="T176" s="640" t="s">
        <v>439</v>
      </c>
      <c r="U176" s="640" t="s">
        <v>440</v>
      </c>
      <c r="V176" s="640" t="s">
        <v>359</v>
      </c>
      <c r="W176" s="640" t="s">
        <v>360</v>
      </c>
      <c r="X176" s="653" t="s">
        <v>364</v>
      </c>
      <c r="Y176" s="652">
        <v>1</v>
      </c>
      <c r="Z176" s="652">
        <v>1</v>
      </c>
      <c r="AA176" s="641"/>
      <c r="AB176" s="640"/>
      <c r="AC176" s="640"/>
      <c r="AD176" s="640"/>
      <c r="AE176" s="642" t="s">
        <v>435</v>
      </c>
      <c r="AF176" s="643" t="s">
        <v>105</v>
      </c>
      <c r="AG176" s="648">
        <v>64</v>
      </c>
      <c r="AH176" s="648">
        <v>28</v>
      </c>
      <c r="AI176" s="649">
        <v>360</v>
      </c>
      <c r="AJ176" s="649">
        <v>155.52000000000001</v>
      </c>
      <c r="AK176" s="649">
        <v>288</v>
      </c>
      <c r="AL176" s="649">
        <v>24.192</v>
      </c>
    </row>
    <row r="177" spans="1:38" x14ac:dyDescent="0.2">
      <c r="A177" s="640" t="s">
        <v>125</v>
      </c>
      <c r="B177" s="640">
        <v>86</v>
      </c>
      <c r="C177" s="640">
        <v>86</v>
      </c>
      <c r="D177" s="640" t="s">
        <v>539</v>
      </c>
      <c r="E177" s="640" t="s">
        <v>541</v>
      </c>
      <c r="F177" s="640"/>
      <c r="G177" s="640" t="s">
        <v>407</v>
      </c>
      <c r="H177" s="664" t="s">
        <v>380</v>
      </c>
      <c r="I177" s="640" t="s">
        <v>358</v>
      </c>
      <c r="J177" s="640"/>
      <c r="K177" s="640">
        <v>9</v>
      </c>
      <c r="L177" s="664">
        <v>18</v>
      </c>
      <c r="M177" s="640"/>
      <c r="N177" s="640"/>
      <c r="O177" s="640" t="s">
        <v>359</v>
      </c>
      <c r="P177" s="640" t="s">
        <v>360</v>
      </c>
      <c r="Q177" s="664" t="s">
        <v>361</v>
      </c>
      <c r="R177" s="640" t="s">
        <v>362</v>
      </c>
      <c r="S177" s="640">
        <v>9</v>
      </c>
      <c r="T177" s="640" t="s">
        <v>542</v>
      </c>
      <c r="U177" s="640" t="s">
        <v>543</v>
      </c>
      <c r="V177" s="640" t="s">
        <v>359</v>
      </c>
      <c r="W177" s="640" t="s">
        <v>360</v>
      </c>
      <c r="X177" s="653" t="s">
        <v>364</v>
      </c>
      <c r="Y177" s="652">
        <v>1</v>
      </c>
      <c r="Z177" s="652">
        <v>1</v>
      </c>
      <c r="AA177" s="641"/>
      <c r="AB177" s="640"/>
      <c r="AC177" s="640"/>
      <c r="AD177" s="640"/>
      <c r="AE177" s="642" t="s">
        <v>537</v>
      </c>
      <c r="AF177" s="643" t="s">
        <v>105</v>
      </c>
      <c r="AG177" s="648">
        <v>64</v>
      </c>
      <c r="AH177" s="648">
        <v>28</v>
      </c>
      <c r="AI177" s="649">
        <v>2160</v>
      </c>
      <c r="AJ177" s="649">
        <v>699.84</v>
      </c>
      <c r="AK177" s="649">
        <v>1728</v>
      </c>
      <c r="AL177" s="649">
        <v>108.864</v>
      </c>
    </row>
    <row r="178" spans="1:38" x14ac:dyDescent="0.2">
      <c r="A178" s="640" t="s">
        <v>125</v>
      </c>
      <c r="B178" s="640">
        <v>88</v>
      </c>
      <c r="C178" s="640">
        <v>88</v>
      </c>
      <c r="D178" s="640" t="s">
        <v>539</v>
      </c>
      <c r="E178" s="640" t="s">
        <v>544</v>
      </c>
      <c r="F178" s="640"/>
      <c r="G178" s="640" t="s">
        <v>483</v>
      </c>
      <c r="H178" s="664" t="s">
        <v>380</v>
      </c>
      <c r="I178" s="640" t="s">
        <v>358</v>
      </c>
      <c r="J178" s="640"/>
      <c r="K178" s="640">
        <v>15</v>
      </c>
      <c r="L178" s="664">
        <v>30</v>
      </c>
      <c r="M178" s="640"/>
      <c r="N178" s="640"/>
      <c r="O178" s="640" t="s">
        <v>359</v>
      </c>
      <c r="P178" s="640" t="s">
        <v>360</v>
      </c>
      <c r="Q178" s="664" t="s">
        <v>361</v>
      </c>
      <c r="R178" s="640" t="s">
        <v>362</v>
      </c>
      <c r="S178" s="640">
        <v>15</v>
      </c>
      <c r="T178" s="640" t="s">
        <v>545</v>
      </c>
      <c r="U178" s="640" t="s">
        <v>546</v>
      </c>
      <c r="V178" s="640" t="s">
        <v>359</v>
      </c>
      <c r="W178" s="640" t="s">
        <v>360</v>
      </c>
      <c r="X178" s="653"/>
      <c r="Y178" s="652"/>
      <c r="Z178" s="652"/>
      <c r="AA178" s="641"/>
      <c r="AB178" s="640"/>
      <c r="AC178" s="640"/>
      <c r="AD178" s="640"/>
      <c r="AE178" s="642" t="s">
        <v>537</v>
      </c>
      <c r="AF178" s="643" t="s">
        <v>105</v>
      </c>
      <c r="AG178" s="648">
        <v>64</v>
      </c>
      <c r="AH178" s="648">
        <v>28</v>
      </c>
      <c r="AI178" s="649">
        <v>2400</v>
      </c>
      <c r="AJ178" s="649">
        <v>1296</v>
      </c>
      <c r="AK178" s="649">
        <v>2400</v>
      </c>
      <c r="AL178" s="649">
        <v>0</v>
      </c>
    </row>
    <row r="179" spans="1:38" x14ac:dyDescent="0.2">
      <c r="A179" s="635" t="s">
        <v>125</v>
      </c>
      <c r="B179" s="635">
        <v>89</v>
      </c>
      <c r="C179" s="635">
        <v>89</v>
      </c>
      <c r="D179" s="635" t="s">
        <v>547</v>
      </c>
      <c r="E179" s="635" t="s">
        <v>548</v>
      </c>
      <c r="F179" s="635"/>
      <c r="G179" s="635" t="s">
        <v>407</v>
      </c>
      <c r="H179" s="664" t="s">
        <v>380</v>
      </c>
      <c r="I179" s="635" t="s">
        <v>358</v>
      </c>
      <c r="J179" s="635"/>
      <c r="K179" s="635">
        <v>12</v>
      </c>
      <c r="L179" s="664">
        <v>24</v>
      </c>
      <c r="M179" s="635"/>
      <c r="N179" s="635"/>
      <c r="O179" s="635" t="s">
        <v>359</v>
      </c>
      <c r="P179" s="635" t="s">
        <v>360</v>
      </c>
      <c r="Q179" s="664" t="s">
        <v>361</v>
      </c>
      <c r="R179" s="635" t="s">
        <v>362</v>
      </c>
      <c r="S179" s="635">
        <v>12</v>
      </c>
      <c r="T179" s="635" t="s">
        <v>439</v>
      </c>
      <c r="U179" s="635" t="s">
        <v>440</v>
      </c>
      <c r="V179" s="635" t="s">
        <v>359</v>
      </c>
      <c r="W179" s="635" t="s">
        <v>360</v>
      </c>
      <c r="X179" s="651" t="s">
        <v>364</v>
      </c>
      <c r="Y179" s="650">
        <v>1</v>
      </c>
      <c r="Z179" s="650">
        <v>1</v>
      </c>
      <c r="AA179" s="636"/>
      <c r="AB179" s="635"/>
      <c r="AC179" s="635"/>
      <c r="AD179" s="635"/>
      <c r="AE179" s="637" t="s">
        <v>370</v>
      </c>
      <c r="AF179" s="638" t="s">
        <v>105</v>
      </c>
      <c r="AG179" s="646">
        <v>64</v>
      </c>
      <c r="AH179" s="646">
        <v>28</v>
      </c>
      <c r="AI179" s="647">
        <v>2160</v>
      </c>
      <c r="AJ179" s="647">
        <v>933.12</v>
      </c>
      <c r="AK179" s="647">
        <v>1728</v>
      </c>
      <c r="AL179" s="647">
        <v>145.15199999999999</v>
      </c>
    </row>
    <row r="180" spans="1:38" x14ac:dyDescent="0.2">
      <c r="A180" s="640" t="s">
        <v>125</v>
      </c>
      <c r="B180" s="640">
        <v>90</v>
      </c>
      <c r="C180" s="640">
        <v>90</v>
      </c>
      <c r="D180" s="640" t="s">
        <v>547</v>
      </c>
      <c r="E180" s="640" t="s">
        <v>549</v>
      </c>
      <c r="F180" s="640"/>
      <c r="G180" s="640" t="s">
        <v>407</v>
      </c>
      <c r="H180" s="664" t="s">
        <v>380</v>
      </c>
      <c r="I180" s="640" t="s">
        <v>358</v>
      </c>
      <c r="J180" s="640"/>
      <c r="K180" s="640">
        <v>12</v>
      </c>
      <c r="L180" s="664">
        <v>24</v>
      </c>
      <c r="M180" s="640"/>
      <c r="N180" s="640"/>
      <c r="O180" s="640" t="s">
        <v>359</v>
      </c>
      <c r="P180" s="640" t="s">
        <v>360</v>
      </c>
      <c r="Q180" s="664" t="s">
        <v>361</v>
      </c>
      <c r="R180" s="640" t="s">
        <v>362</v>
      </c>
      <c r="S180" s="640">
        <v>12</v>
      </c>
      <c r="T180" s="640" t="s">
        <v>439</v>
      </c>
      <c r="U180" s="640" t="s">
        <v>440</v>
      </c>
      <c r="V180" s="640" t="s">
        <v>359</v>
      </c>
      <c r="W180" s="640" t="s">
        <v>360</v>
      </c>
      <c r="X180" s="653" t="s">
        <v>364</v>
      </c>
      <c r="Y180" s="652">
        <v>1</v>
      </c>
      <c r="Z180" s="652">
        <v>1</v>
      </c>
      <c r="AA180" s="641"/>
      <c r="AB180" s="640"/>
      <c r="AC180" s="640"/>
      <c r="AD180" s="640"/>
      <c r="AE180" s="642" t="s">
        <v>370</v>
      </c>
      <c r="AF180" s="643" t="s">
        <v>105</v>
      </c>
      <c r="AG180" s="648">
        <v>64</v>
      </c>
      <c r="AH180" s="648">
        <v>28</v>
      </c>
      <c r="AI180" s="649">
        <v>2160</v>
      </c>
      <c r="AJ180" s="649">
        <v>933.12</v>
      </c>
      <c r="AK180" s="649">
        <v>1728</v>
      </c>
      <c r="AL180" s="649">
        <v>145.15199999999999</v>
      </c>
    </row>
    <row r="181" spans="1:38" x14ac:dyDescent="0.2">
      <c r="A181" s="635" t="s">
        <v>125</v>
      </c>
      <c r="B181" s="635">
        <v>91</v>
      </c>
      <c r="C181" s="635">
        <v>91</v>
      </c>
      <c r="D181" s="635" t="s">
        <v>547</v>
      </c>
      <c r="E181" s="635" t="s">
        <v>547</v>
      </c>
      <c r="F181" s="635"/>
      <c r="G181" s="635" t="s">
        <v>407</v>
      </c>
      <c r="H181" s="664" t="s">
        <v>380</v>
      </c>
      <c r="I181" s="635" t="s">
        <v>358</v>
      </c>
      <c r="J181" s="635"/>
      <c r="K181" s="635">
        <v>8</v>
      </c>
      <c r="L181" s="664">
        <v>16</v>
      </c>
      <c r="M181" s="635"/>
      <c r="N181" s="635"/>
      <c r="O181" s="635" t="s">
        <v>359</v>
      </c>
      <c r="P181" s="635" t="s">
        <v>360</v>
      </c>
      <c r="Q181" s="664" t="s">
        <v>361</v>
      </c>
      <c r="R181" s="635" t="s">
        <v>362</v>
      </c>
      <c r="S181" s="635">
        <v>8</v>
      </c>
      <c r="T181" s="635" t="s">
        <v>381</v>
      </c>
      <c r="U181" s="635" t="s">
        <v>382</v>
      </c>
      <c r="V181" s="635" t="s">
        <v>359</v>
      </c>
      <c r="W181" s="635" t="s">
        <v>360</v>
      </c>
      <c r="X181" s="651" t="s">
        <v>364</v>
      </c>
      <c r="Y181" s="650">
        <v>1</v>
      </c>
      <c r="Z181" s="650">
        <v>1</v>
      </c>
      <c r="AA181" s="636"/>
      <c r="AB181" s="635"/>
      <c r="AC181" s="635"/>
      <c r="AD181" s="635"/>
      <c r="AE181" s="637" t="s">
        <v>370</v>
      </c>
      <c r="AF181" s="638" t="s">
        <v>105</v>
      </c>
      <c r="AG181" s="646">
        <v>64</v>
      </c>
      <c r="AH181" s="646">
        <v>28</v>
      </c>
      <c r="AI181" s="647">
        <v>2160</v>
      </c>
      <c r="AJ181" s="647">
        <v>622.08000000000004</v>
      </c>
      <c r="AK181" s="647">
        <v>1728</v>
      </c>
      <c r="AL181" s="647">
        <v>96.768000000000001</v>
      </c>
    </row>
    <row r="182" spans="1:38" x14ac:dyDescent="0.2">
      <c r="A182" s="640" t="s">
        <v>125</v>
      </c>
      <c r="B182" s="640">
        <v>92</v>
      </c>
      <c r="C182" s="640">
        <v>92</v>
      </c>
      <c r="D182" s="640" t="s">
        <v>550</v>
      </c>
      <c r="E182" s="640" t="s">
        <v>551</v>
      </c>
      <c r="F182" s="640"/>
      <c r="G182" s="640" t="s">
        <v>407</v>
      </c>
      <c r="H182" s="664" t="s">
        <v>380</v>
      </c>
      <c r="I182" s="640" t="s">
        <v>358</v>
      </c>
      <c r="J182" s="640"/>
      <c r="K182" s="640">
        <v>12</v>
      </c>
      <c r="L182" s="664">
        <v>24</v>
      </c>
      <c r="M182" s="640"/>
      <c r="N182" s="640"/>
      <c r="O182" s="640" t="s">
        <v>359</v>
      </c>
      <c r="P182" s="640" t="s">
        <v>360</v>
      </c>
      <c r="Q182" s="664" t="s">
        <v>361</v>
      </c>
      <c r="R182" s="640" t="s">
        <v>362</v>
      </c>
      <c r="S182" s="640">
        <v>12</v>
      </c>
      <c r="T182" s="640" t="s">
        <v>439</v>
      </c>
      <c r="U182" s="640" t="s">
        <v>440</v>
      </c>
      <c r="V182" s="640" t="s">
        <v>359</v>
      </c>
      <c r="W182" s="640" t="s">
        <v>360</v>
      </c>
      <c r="X182" s="653" t="s">
        <v>364</v>
      </c>
      <c r="Y182" s="652">
        <v>1</v>
      </c>
      <c r="Z182" s="652">
        <v>1</v>
      </c>
      <c r="AA182" s="641"/>
      <c r="AB182" s="640"/>
      <c r="AC182" s="640"/>
      <c r="AD182" s="640"/>
      <c r="AE182" s="642" t="s">
        <v>537</v>
      </c>
      <c r="AF182" s="643" t="s">
        <v>105</v>
      </c>
      <c r="AG182" s="648">
        <v>64</v>
      </c>
      <c r="AH182" s="648">
        <v>28</v>
      </c>
      <c r="AI182" s="649">
        <v>2160</v>
      </c>
      <c r="AJ182" s="649">
        <v>933.12</v>
      </c>
      <c r="AK182" s="649">
        <v>1728</v>
      </c>
      <c r="AL182" s="649">
        <v>145.15199999999999</v>
      </c>
    </row>
    <row r="183" spans="1:38" x14ac:dyDescent="0.2">
      <c r="A183" s="635" t="s">
        <v>125</v>
      </c>
      <c r="B183" s="635">
        <v>93</v>
      </c>
      <c r="C183" s="635">
        <v>93</v>
      </c>
      <c r="D183" s="635" t="s">
        <v>550</v>
      </c>
      <c r="E183" s="635" t="s">
        <v>552</v>
      </c>
      <c r="F183" s="635"/>
      <c r="G183" s="635" t="s">
        <v>407</v>
      </c>
      <c r="H183" s="664" t="s">
        <v>380</v>
      </c>
      <c r="I183" s="635" t="s">
        <v>358</v>
      </c>
      <c r="J183" s="635"/>
      <c r="K183" s="635">
        <v>12</v>
      </c>
      <c r="L183" s="664">
        <v>24</v>
      </c>
      <c r="M183" s="635"/>
      <c r="N183" s="635"/>
      <c r="O183" s="635" t="s">
        <v>359</v>
      </c>
      <c r="P183" s="635" t="s">
        <v>360</v>
      </c>
      <c r="Q183" s="664" t="s">
        <v>361</v>
      </c>
      <c r="R183" s="635" t="s">
        <v>362</v>
      </c>
      <c r="S183" s="635">
        <v>12</v>
      </c>
      <c r="T183" s="635" t="s">
        <v>439</v>
      </c>
      <c r="U183" s="635" t="s">
        <v>440</v>
      </c>
      <c r="V183" s="635" t="s">
        <v>359</v>
      </c>
      <c r="W183" s="635" t="s">
        <v>360</v>
      </c>
      <c r="X183" s="651" t="s">
        <v>364</v>
      </c>
      <c r="Y183" s="650">
        <v>1</v>
      </c>
      <c r="Z183" s="650">
        <v>1</v>
      </c>
      <c r="AA183" s="636"/>
      <c r="AB183" s="635"/>
      <c r="AC183" s="635"/>
      <c r="AD183" s="635"/>
      <c r="AE183" s="637" t="s">
        <v>537</v>
      </c>
      <c r="AF183" s="638" t="s">
        <v>105</v>
      </c>
      <c r="AG183" s="646">
        <v>64</v>
      </c>
      <c r="AH183" s="646">
        <v>28</v>
      </c>
      <c r="AI183" s="647">
        <v>2160</v>
      </c>
      <c r="AJ183" s="647">
        <v>933.12</v>
      </c>
      <c r="AK183" s="647">
        <v>1728</v>
      </c>
      <c r="AL183" s="647">
        <v>145.15199999999999</v>
      </c>
    </row>
    <row r="184" spans="1:38" x14ac:dyDescent="0.2">
      <c r="A184" s="640" t="s">
        <v>125</v>
      </c>
      <c r="B184" s="640">
        <v>94</v>
      </c>
      <c r="C184" s="640">
        <v>94</v>
      </c>
      <c r="D184" s="640" t="s">
        <v>550</v>
      </c>
      <c r="E184" s="640" t="s">
        <v>550</v>
      </c>
      <c r="F184" s="640"/>
      <c r="G184" s="640" t="s">
        <v>367</v>
      </c>
      <c r="H184" s="664" t="s">
        <v>380</v>
      </c>
      <c r="I184" s="640" t="s">
        <v>358</v>
      </c>
      <c r="J184" s="640"/>
      <c r="K184" s="640">
        <v>6</v>
      </c>
      <c r="L184" s="664">
        <v>12</v>
      </c>
      <c r="M184" s="640"/>
      <c r="N184" s="640"/>
      <c r="O184" s="640" t="s">
        <v>359</v>
      </c>
      <c r="P184" s="640" t="s">
        <v>360</v>
      </c>
      <c r="Q184" s="664" t="s">
        <v>361</v>
      </c>
      <c r="R184" s="640" t="s">
        <v>362</v>
      </c>
      <c r="S184" s="640">
        <v>6</v>
      </c>
      <c r="T184" s="640" t="s">
        <v>385</v>
      </c>
      <c r="U184" s="640" t="s">
        <v>386</v>
      </c>
      <c r="V184" s="640" t="s">
        <v>359</v>
      </c>
      <c r="W184" s="640" t="s">
        <v>360</v>
      </c>
      <c r="X184" s="653" t="s">
        <v>369</v>
      </c>
      <c r="Y184" s="652">
        <v>1</v>
      </c>
      <c r="Z184" s="652">
        <v>2</v>
      </c>
      <c r="AA184" s="641"/>
      <c r="AB184" s="640"/>
      <c r="AC184" s="640"/>
      <c r="AD184" s="640"/>
      <c r="AE184" s="642" t="s">
        <v>537</v>
      </c>
      <c r="AF184" s="643" t="s">
        <v>105</v>
      </c>
      <c r="AG184" s="648">
        <v>64</v>
      </c>
      <c r="AH184" s="648">
        <v>28</v>
      </c>
      <c r="AI184" s="649">
        <v>2520</v>
      </c>
      <c r="AJ184" s="649">
        <v>544.32000000000005</v>
      </c>
      <c r="AK184" s="649">
        <v>2016</v>
      </c>
      <c r="AL184" s="649">
        <v>84.671999999999997</v>
      </c>
    </row>
    <row r="185" spans="1:38" ht="13.5" thickBot="1" x14ac:dyDescent="0.25">
      <c r="A185" s="635" t="s">
        <v>125</v>
      </c>
      <c r="B185" s="635">
        <v>95</v>
      </c>
      <c r="C185" s="635">
        <v>95</v>
      </c>
      <c r="D185" s="635" t="s">
        <v>550</v>
      </c>
      <c r="E185" s="635" t="s">
        <v>553</v>
      </c>
      <c r="F185" s="635"/>
      <c r="G185" s="635" t="s">
        <v>407</v>
      </c>
      <c r="H185" s="664" t="s">
        <v>380</v>
      </c>
      <c r="I185" s="635" t="s">
        <v>358</v>
      </c>
      <c r="J185" s="635"/>
      <c r="K185" s="635">
        <v>10</v>
      </c>
      <c r="L185" s="591">
        <v>20</v>
      </c>
      <c r="M185" s="635"/>
      <c r="N185" s="635"/>
      <c r="O185" s="635" t="s">
        <v>359</v>
      </c>
      <c r="P185" s="635" t="s">
        <v>360</v>
      </c>
      <c r="Q185" s="664" t="s">
        <v>361</v>
      </c>
      <c r="R185" s="635" t="s">
        <v>362</v>
      </c>
      <c r="S185" s="635">
        <v>10</v>
      </c>
      <c r="T185" s="635" t="s">
        <v>424</v>
      </c>
      <c r="U185" s="635" t="s">
        <v>425</v>
      </c>
      <c r="V185" s="635" t="s">
        <v>359</v>
      </c>
      <c r="W185" s="635" t="s">
        <v>360</v>
      </c>
      <c r="X185" s="651" t="s">
        <v>364</v>
      </c>
      <c r="Y185" s="650">
        <v>1</v>
      </c>
      <c r="Z185" s="650">
        <v>1</v>
      </c>
      <c r="AA185" s="636"/>
      <c r="AB185" s="635"/>
      <c r="AC185" s="635"/>
      <c r="AD185" s="635"/>
      <c r="AE185" s="637" t="s">
        <v>537</v>
      </c>
      <c r="AF185" s="638" t="s">
        <v>105</v>
      </c>
      <c r="AG185" s="646">
        <v>64</v>
      </c>
      <c r="AH185" s="646">
        <v>28</v>
      </c>
      <c r="AI185" s="647">
        <v>2160</v>
      </c>
      <c r="AJ185" s="647">
        <v>777.6</v>
      </c>
      <c r="AK185" s="647">
        <v>1728</v>
      </c>
      <c r="AL185" s="647">
        <v>120.96</v>
      </c>
    </row>
    <row r="186" spans="1:38" ht="13.5" thickTop="1" x14ac:dyDescent="0.2">
      <c r="A186" s="640"/>
      <c r="B186" s="640"/>
      <c r="C186" s="640"/>
      <c r="D186" s="640"/>
      <c r="E186" s="640"/>
      <c r="F186" s="640"/>
      <c r="G186" s="640"/>
      <c r="H186" s="664"/>
      <c r="I186" s="640"/>
      <c r="J186" s="640"/>
      <c r="K186" s="640"/>
      <c r="L186" s="663">
        <v>1340</v>
      </c>
      <c r="M186" s="640"/>
      <c r="N186" s="640"/>
      <c r="O186" s="640"/>
      <c r="P186" s="640"/>
      <c r="Q186" s="640"/>
      <c r="R186" s="640"/>
      <c r="S186" s="640"/>
      <c r="T186" s="640"/>
      <c r="U186" s="640"/>
      <c r="V186" s="640"/>
      <c r="W186" s="640"/>
      <c r="X186" s="642"/>
      <c r="Y186" s="640"/>
      <c r="Z186" s="640"/>
      <c r="AA186" s="641"/>
      <c r="AB186" s="640"/>
      <c r="AC186" s="640"/>
      <c r="AD186" s="640"/>
      <c r="AE186" s="642"/>
      <c r="AF186" s="643"/>
      <c r="AG186" s="644"/>
      <c r="AH186" s="644"/>
      <c r="AI186" s="645">
        <v>111820</v>
      </c>
      <c r="AJ186" s="645">
        <f>SUM(AJ135:AJ185)</f>
        <v>51818.400000000023</v>
      </c>
      <c r="AK186" s="645"/>
      <c r="AL186" s="64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78"/>
  <sheetViews>
    <sheetView topLeftCell="A4" workbookViewId="0">
      <selection activeCell="T36" sqref="T36"/>
    </sheetView>
  </sheetViews>
  <sheetFormatPr defaultRowHeight="12.75" x14ac:dyDescent="0.2"/>
  <sheetData>
    <row r="3" spans="18:18" x14ac:dyDescent="0.2">
      <c r="R3" s="590" t="s">
        <v>727</v>
      </c>
    </row>
    <row r="38" spans="1:18" x14ac:dyDescent="0.2">
      <c r="A38" s="427"/>
      <c r="B38" s="427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72" spans="1:18" s="608" customFormat="1" x14ac:dyDescent="0.2"/>
    <row r="73" spans="1:18" s="608" customFormat="1" x14ac:dyDescent="0.2"/>
    <row r="74" spans="1:18" s="608" customFormat="1" x14ac:dyDescent="0.2"/>
    <row r="75" spans="1:18" s="608" customFormat="1" x14ac:dyDescent="0.2"/>
    <row r="78" spans="1:18" x14ac:dyDescent="0.2">
      <c r="A78" s="427"/>
      <c r="B78" s="427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</sheetData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"/>
  <sheetViews>
    <sheetView workbookViewId="0">
      <selection activeCell="N29" sqref="N29"/>
    </sheetView>
  </sheetViews>
  <sheetFormatPr defaultRowHeight="12.75" x14ac:dyDescent="0.2"/>
  <sheetData>
    <row r="1" spans="1:37" ht="51.75" thickBot="1" x14ac:dyDescent="0.3">
      <c r="A1" s="372" t="s">
        <v>124</v>
      </c>
      <c r="B1" s="372" t="s">
        <v>327</v>
      </c>
      <c r="C1" s="372" t="s">
        <v>328</v>
      </c>
      <c r="D1" s="372" t="s">
        <v>329</v>
      </c>
      <c r="E1" s="372" t="s">
        <v>330</v>
      </c>
      <c r="F1" s="372" t="s">
        <v>331</v>
      </c>
      <c r="G1" s="372" t="s">
        <v>332</v>
      </c>
      <c r="H1" s="422" t="s">
        <v>333</v>
      </c>
      <c r="I1" s="372" t="s">
        <v>334</v>
      </c>
      <c r="J1" s="372" t="s">
        <v>335</v>
      </c>
      <c r="K1" s="372" t="s">
        <v>336</v>
      </c>
      <c r="L1" s="372" t="s">
        <v>337</v>
      </c>
      <c r="M1" s="372" t="s">
        <v>338</v>
      </c>
      <c r="N1" s="372" t="s">
        <v>339</v>
      </c>
      <c r="O1" s="372" t="s">
        <v>340</v>
      </c>
      <c r="P1" s="422" t="s">
        <v>341</v>
      </c>
      <c r="Q1" s="372" t="s">
        <v>342</v>
      </c>
      <c r="R1" s="372" t="s">
        <v>343</v>
      </c>
      <c r="S1" s="372" t="s">
        <v>344</v>
      </c>
      <c r="T1" s="372" t="s">
        <v>345</v>
      </c>
      <c r="U1" s="372" t="s">
        <v>346</v>
      </c>
      <c r="V1" s="372" t="s">
        <v>347</v>
      </c>
      <c r="W1" s="372" t="s">
        <v>348</v>
      </c>
      <c r="X1" s="372" t="s">
        <v>349</v>
      </c>
      <c r="Y1" s="372" t="s">
        <v>350</v>
      </c>
      <c r="Z1" s="372" t="s">
        <v>351</v>
      </c>
      <c r="AA1" s="372" t="s">
        <v>352</v>
      </c>
      <c r="AB1" s="372" t="s">
        <v>353</v>
      </c>
      <c r="AC1" s="372" t="s">
        <v>179</v>
      </c>
      <c r="AD1" s="372" t="s">
        <v>354</v>
      </c>
      <c r="AE1" s="372" t="s">
        <v>355</v>
      </c>
      <c r="AF1" s="372" t="s">
        <v>356</v>
      </c>
      <c r="AG1" s="372" t="s">
        <v>278</v>
      </c>
      <c r="AH1" s="372" t="s">
        <v>279</v>
      </c>
      <c r="AI1" s="372" t="s">
        <v>280</v>
      </c>
      <c r="AJ1" s="372" t="s">
        <v>281</v>
      </c>
      <c r="AK1" s="372" t="s">
        <v>282</v>
      </c>
    </row>
    <row r="2" spans="1:37" ht="13.5" thickTop="1" x14ac:dyDescent="0.2">
      <c r="A2" s="385" t="s">
        <v>481</v>
      </c>
      <c r="B2" s="385">
        <v>15</v>
      </c>
      <c r="C2" s="385">
        <v>15</v>
      </c>
      <c r="D2" s="385" t="s">
        <v>400</v>
      </c>
      <c r="E2" s="385" t="s">
        <v>410</v>
      </c>
      <c r="F2" s="385"/>
      <c r="G2" s="385" t="s">
        <v>407</v>
      </c>
      <c r="H2" s="420" t="s">
        <v>575</v>
      </c>
      <c r="I2" s="385" t="s">
        <v>576</v>
      </c>
      <c r="J2" s="385"/>
      <c r="K2" s="385">
        <v>2</v>
      </c>
      <c r="L2" s="385"/>
      <c r="M2" s="385"/>
      <c r="N2" s="385" t="s">
        <v>359</v>
      </c>
      <c r="O2" s="385" t="s">
        <v>360</v>
      </c>
      <c r="P2" s="420" t="s">
        <v>577</v>
      </c>
      <c r="Q2" s="385" t="s">
        <v>362</v>
      </c>
      <c r="R2" s="385">
        <v>2</v>
      </c>
      <c r="S2" s="385" t="s">
        <v>578</v>
      </c>
      <c r="T2" s="385" t="s">
        <v>363</v>
      </c>
      <c r="U2" s="385" t="s">
        <v>579</v>
      </c>
      <c r="V2" s="385" t="s">
        <v>360</v>
      </c>
      <c r="W2" s="387" t="s">
        <v>364</v>
      </c>
      <c r="X2" s="385"/>
      <c r="Y2" s="385"/>
      <c r="Z2" s="386"/>
      <c r="AA2" s="385"/>
      <c r="AB2" s="385"/>
      <c r="AC2" s="385"/>
      <c r="AD2" s="387" t="s">
        <v>370</v>
      </c>
      <c r="AE2" s="388" t="s">
        <v>105</v>
      </c>
      <c r="AF2" s="389">
        <v>33</v>
      </c>
      <c r="AG2" s="389">
        <v>25</v>
      </c>
      <c r="AH2" s="390">
        <v>3650</v>
      </c>
      <c r="AI2" s="390">
        <v>58.4</v>
      </c>
      <c r="AJ2" s="390">
        <v>2920</v>
      </c>
      <c r="AK2" s="390">
        <v>36.5</v>
      </c>
    </row>
    <row r="3" spans="1:37" x14ac:dyDescent="0.2">
      <c r="A3" s="373" t="s">
        <v>481</v>
      </c>
      <c r="B3" s="373">
        <v>17</v>
      </c>
      <c r="C3" s="373">
        <v>17</v>
      </c>
      <c r="D3" s="373" t="s">
        <v>400</v>
      </c>
      <c r="E3" s="373" t="s">
        <v>413</v>
      </c>
      <c r="F3" s="373"/>
      <c r="G3" s="373" t="s">
        <v>407</v>
      </c>
      <c r="H3" s="421" t="s">
        <v>575</v>
      </c>
      <c r="I3" s="373" t="s">
        <v>576</v>
      </c>
      <c r="J3" s="373"/>
      <c r="K3" s="373">
        <v>2</v>
      </c>
      <c r="L3" s="373"/>
      <c r="M3" s="373"/>
      <c r="N3" s="373" t="s">
        <v>359</v>
      </c>
      <c r="O3" s="373" t="s">
        <v>360</v>
      </c>
      <c r="P3" s="421" t="s">
        <v>577</v>
      </c>
      <c r="Q3" s="373" t="s">
        <v>362</v>
      </c>
      <c r="R3" s="373">
        <v>2</v>
      </c>
      <c r="S3" s="373" t="s">
        <v>578</v>
      </c>
      <c r="T3" s="373" t="s">
        <v>363</v>
      </c>
      <c r="U3" s="373" t="s">
        <v>579</v>
      </c>
      <c r="V3" s="373" t="s">
        <v>360</v>
      </c>
      <c r="W3" s="375" t="s">
        <v>364</v>
      </c>
      <c r="X3" s="373"/>
      <c r="Y3" s="373"/>
      <c r="Z3" s="374"/>
      <c r="AA3" s="373"/>
      <c r="AB3" s="373"/>
      <c r="AC3" s="373"/>
      <c r="AD3" s="375" t="s">
        <v>370</v>
      </c>
      <c r="AE3" s="376" t="s">
        <v>105</v>
      </c>
      <c r="AF3" s="377">
        <v>33</v>
      </c>
      <c r="AG3" s="377">
        <v>25</v>
      </c>
      <c r="AH3" s="378">
        <v>3650</v>
      </c>
      <c r="AI3" s="378">
        <v>58.4</v>
      </c>
      <c r="AJ3" s="378">
        <v>2920</v>
      </c>
      <c r="AK3" s="378">
        <v>36.5</v>
      </c>
    </row>
    <row r="4" spans="1:37" x14ac:dyDescent="0.2">
      <c r="A4" s="379" t="s">
        <v>481</v>
      </c>
      <c r="B4" s="379">
        <v>30</v>
      </c>
      <c r="C4" s="379">
        <v>30</v>
      </c>
      <c r="D4" s="379" t="s">
        <v>400</v>
      </c>
      <c r="E4" s="379" t="s">
        <v>418</v>
      </c>
      <c r="F4" s="379"/>
      <c r="G4" s="379" t="s">
        <v>407</v>
      </c>
      <c r="H4" s="421" t="s">
        <v>575</v>
      </c>
      <c r="I4" s="379" t="s">
        <v>576</v>
      </c>
      <c r="J4" s="379"/>
      <c r="K4" s="379">
        <v>2</v>
      </c>
      <c r="L4" s="379"/>
      <c r="M4" s="379"/>
      <c r="N4" s="379" t="s">
        <v>359</v>
      </c>
      <c r="O4" s="379" t="s">
        <v>360</v>
      </c>
      <c r="P4" s="421" t="s">
        <v>577</v>
      </c>
      <c r="Q4" s="379" t="s">
        <v>362</v>
      </c>
      <c r="R4" s="379">
        <v>2</v>
      </c>
      <c r="S4" s="379" t="s">
        <v>578</v>
      </c>
      <c r="T4" s="379" t="s">
        <v>363</v>
      </c>
      <c r="U4" s="379" t="s">
        <v>579</v>
      </c>
      <c r="V4" s="379" t="s">
        <v>360</v>
      </c>
      <c r="W4" s="381" t="s">
        <v>364</v>
      </c>
      <c r="X4" s="379"/>
      <c r="Y4" s="379"/>
      <c r="Z4" s="380"/>
      <c r="AA4" s="379"/>
      <c r="AB4" s="379"/>
      <c r="AC4" s="379"/>
      <c r="AD4" s="381" t="s">
        <v>419</v>
      </c>
      <c r="AE4" s="382" t="s">
        <v>105</v>
      </c>
      <c r="AF4" s="383">
        <v>33</v>
      </c>
      <c r="AG4" s="383">
        <v>25</v>
      </c>
      <c r="AH4" s="384">
        <v>3650</v>
      </c>
      <c r="AI4" s="384">
        <v>58.4</v>
      </c>
      <c r="AJ4" s="384">
        <v>2920</v>
      </c>
      <c r="AK4" s="384">
        <v>36.5</v>
      </c>
    </row>
    <row r="5" spans="1:37" x14ac:dyDescent="0.2">
      <c r="A5" s="379" t="s">
        <v>481</v>
      </c>
      <c r="B5" s="379">
        <v>32</v>
      </c>
      <c r="C5" s="379">
        <v>32</v>
      </c>
      <c r="D5" s="379" t="s">
        <v>400</v>
      </c>
      <c r="E5" s="379" t="s">
        <v>420</v>
      </c>
      <c r="F5" s="379"/>
      <c r="G5" s="379" t="s">
        <v>407</v>
      </c>
      <c r="H5" s="421" t="s">
        <v>575</v>
      </c>
      <c r="I5" s="379" t="s">
        <v>576</v>
      </c>
      <c r="J5" s="379"/>
      <c r="K5" s="379">
        <v>2</v>
      </c>
      <c r="L5" s="379"/>
      <c r="M5" s="379"/>
      <c r="N5" s="379" t="s">
        <v>359</v>
      </c>
      <c r="O5" s="379" t="s">
        <v>360</v>
      </c>
      <c r="P5" s="421" t="s">
        <v>577</v>
      </c>
      <c r="Q5" s="379" t="s">
        <v>362</v>
      </c>
      <c r="R5" s="379">
        <v>2</v>
      </c>
      <c r="S5" s="379" t="s">
        <v>578</v>
      </c>
      <c r="T5" s="379" t="s">
        <v>363</v>
      </c>
      <c r="U5" s="379" t="s">
        <v>579</v>
      </c>
      <c r="V5" s="379" t="s">
        <v>360</v>
      </c>
      <c r="W5" s="381" t="s">
        <v>364</v>
      </c>
      <c r="X5" s="379"/>
      <c r="Y5" s="379"/>
      <c r="Z5" s="380"/>
      <c r="AA5" s="379"/>
      <c r="AB5" s="379"/>
      <c r="AC5" s="379"/>
      <c r="AD5" s="381" t="s">
        <v>419</v>
      </c>
      <c r="AE5" s="382" t="s">
        <v>105</v>
      </c>
      <c r="AF5" s="383">
        <v>33</v>
      </c>
      <c r="AG5" s="383">
        <v>25</v>
      </c>
      <c r="AH5" s="384">
        <v>3650</v>
      </c>
      <c r="AI5" s="384">
        <v>58.4</v>
      </c>
      <c r="AJ5" s="384">
        <v>2920</v>
      </c>
      <c r="AK5" s="384">
        <v>36.5</v>
      </c>
    </row>
    <row r="6" spans="1:37" x14ac:dyDescent="0.2">
      <c r="A6" s="379" t="s">
        <v>481</v>
      </c>
      <c r="B6" s="379">
        <v>36</v>
      </c>
      <c r="C6" s="379">
        <v>36</v>
      </c>
      <c r="D6" s="379" t="s">
        <v>400</v>
      </c>
      <c r="E6" s="379" t="s">
        <v>422</v>
      </c>
      <c r="F6" s="379"/>
      <c r="G6" s="379" t="s">
        <v>407</v>
      </c>
      <c r="H6" s="421" t="s">
        <v>575</v>
      </c>
      <c r="I6" s="379" t="s">
        <v>576</v>
      </c>
      <c r="J6" s="379"/>
      <c r="K6" s="379">
        <v>2</v>
      </c>
      <c r="L6" s="379"/>
      <c r="M6" s="379"/>
      <c r="N6" s="379" t="s">
        <v>359</v>
      </c>
      <c r="O6" s="379" t="s">
        <v>360</v>
      </c>
      <c r="P6" s="421" t="s">
        <v>577</v>
      </c>
      <c r="Q6" s="379" t="s">
        <v>362</v>
      </c>
      <c r="R6" s="379">
        <v>2</v>
      </c>
      <c r="S6" s="379" t="s">
        <v>578</v>
      </c>
      <c r="T6" s="379" t="s">
        <v>363</v>
      </c>
      <c r="U6" s="379" t="s">
        <v>579</v>
      </c>
      <c r="V6" s="379" t="s">
        <v>360</v>
      </c>
      <c r="W6" s="381" t="s">
        <v>364</v>
      </c>
      <c r="X6" s="379"/>
      <c r="Y6" s="379"/>
      <c r="Z6" s="380"/>
      <c r="AA6" s="379"/>
      <c r="AB6" s="379"/>
      <c r="AC6" s="379"/>
      <c r="AD6" s="381" t="s">
        <v>419</v>
      </c>
      <c r="AE6" s="382" t="s">
        <v>105</v>
      </c>
      <c r="AF6" s="383">
        <v>33</v>
      </c>
      <c r="AG6" s="383">
        <v>25</v>
      </c>
      <c r="AH6" s="384">
        <v>3650</v>
      </c>
      <c r="AI6" s="384">
        <v>58.4</v>
      </c>
      <c r="AJ6" s="384">
        <v>2920</v>
      </c>
      <c r="AK6" s="384">
        <v>36.5</v>
      </c>
    </row>
    <row r="7" spans="1:37" x14ac:dyDescent="0.2">
      <c r="A7" s="379" t="s">
        <v>481</v>
      </c>
      <c r="B7" s="379">
        <v>40</v>
      </c>
      <c r="C7" s="379">
        <v>40</v>
      </c>
      <c r="D7" s="379" t="s">
        <v>400</v>
      </c>
      <c r="E7" s="379" t="s">
        <v>400</v>
      </c>
      <c r="F7" s="379"/>
      <c r="G7" s="379" t="s">
        <v>407</v>
      </c>
      <c r="H7" s="421" t="s">
        <v>575</v>
      </c>
      <c r="I7" s="379" t="s">
        <v>576</v>
      </c>
      <c r="J7" s="379"/>
      <c r="K7" s="379">
        <v>2</v>
      </c>
      <c r="L7" s="379"/>
      <c r="M7" s="379"/>
      <c r="N7" s="379" t="s">
        <v>359</v>
      </c>
      <c r="O7" s="379" t="s">
        <v>360</v>
      </c>
      <c r="P7" s="421" t="s">
        <v>577</v>
      </c>
      <c r="Q7" s="379" t="s">
        <v>362</v>
      </c>
      <c r="R7" s="379">
        <v>2</v>
      </c>
      <c r="S7" s="379" t="s">
        <v>578</v>
      </c>
      <c r="T7" s="379" t="s">
        <v>363</v>
      </c>
      <c r="U7" s="379" t="s">
        <v>579</v>
      </c>
      <c r="V7" s="379" t="s">
        <v>360</v>
      </c>
      <c r="W7" s="381" t="s">
        <v>364</v>
      </c>
      <c r="X7" s="379"/>
      <c r="Y7" s="379"/>
      <c r="Z7" s="380"/>
      <c r="AA7" s="379"/>
      <c r="AB7" s="379"/>
      <c r="AC7" s="379"/>
      <c r="AD7" s="381" t="s">
        <v>419</v>
      </c>
      <c r="AE7" s="382" t="s">
        <v>105</v>
      </c>
      <c r="AF7" s="383">
        <v>33</v>
      </c>
      <c r="AG7" s="383">
        <v>25</v>
      </c>
      <c r="AH7" s="384">
        <v>3650</v>
      </c>
      <c r="AI7" s="384">
        <v>58.4</v>
      </c>
      <c r="AJ7" s="384">
        <v>2920</v>
      </c>
      <c r="AK7" s="384">
        <v>36.5</v>
      </c>
    </row>
    <row r="8" spans="1:37" x14ac:dyDescent="0.2">
      <c r="A8" s="373" t="s">
        <v>481</v>
      </c>
      <c r="B8" s="373">
        <v>67</v>
      </c>
      <c r="C8" s="373">
        <v>67</v>
      </c>
      <c r="D8" s="373" t="s">
        <v>444</v>
      </c>
      <c r="E8" s="373" t="s">
        <v>451</v>
      </c>
      <c r="F8" s="373"/>
      <c r="G8" s="373" t="s">
        <v>407</v>
      </c>
      <c r="H8" s="421" t="s">
        <v>575</v>
      </c>
      <c r="I8" s="373" t="s">
        <v>576</v>
      </c>
      <c r="J8" s="373"/>
      <c r="K8" s="373">
        <v>2</v>
      </c>
      <c r="L8" s="373"/>
      <c r="M8" s="373"/>
      <c r="N8" s="373" t="s">
        <v>359</v>
      </c>
      <c r="O8" s="373" t="s">
        <v>360</v>
      </c>
      <c r="P8" s="421" t="s">
        <v>577</v>
      </c>
      <c r="Q8" s="373" t="s">
        <v>362</v>
      </c>
      <c r="R8" s="373">
        <v>2</v>
      </c>
      <c r="S8" s="373" t="s">
        <v>578</v>
      </c>
      <c r="T8" s="373" t="s">
        <v>363</v>
      </c>
      <c r="U8" s="373" t="s">
        <v>579</v>
      </c>
      <c r="V8" s="373" t="s">
        <v>360</v>
      </c>
      <c r="W8" s="375" t="s">
        <v>364</v>
      </c>
      <c r="X8" s="373"/>
      <c r="Y8" s="373"/>
      <c r="Z8" s="374"/>
      <c r="AA8" s="373"/>
      <c r="AB8" s="373"/>
      <c r="AC8" s="373"/>
      <c r="AD8" s="375" t="s">
        <v>370</v>
      </c>
      <c r="AE8" s="376" t="s">
        <v>105</v>
      </c>
      <c r="AF8" s="377">
        <v>33</v>
      </c>
      <c r="AG8" s="377">
        <v>25</v>
      </c>
      <c r="AH8" s="378">
        <v>3650</v>
      </c>
      <c r="AI8" s="378">
        <v>58.4</v>
      </c>
      <c r="AJ8" s="378">
        <v>2920</v>
      </c>
      <c r="AK8" s="378">
        <v>36.5</v>
      </c>
    </row>
    <row r="9" spans="1:37" x14ac:dyDescent="0.2">
      <c r="A9" s="379" t="s">
        <v>481</v>
      </c>
      <c r="B9" s="379">
        <v>70</v>
      </c>
      <c r="C9" s="379">
        <v>70</v>
      </c>
      <c r="D9" s="379" t="s">
        <v>444</v>
      </c>
      <c r="E9" s="379" t="s">
        <v>454</v>
      </c>
      <c r="F9" s="379"/>
      <c r="G9" s="379" t="s">
        <v>407</v>
      </c>
      <c r="H9" s="421" t="s">
        <v>575</v>
      </c>
      <c r="I9" s="379" t="s">
        <v>576</v>
      </c>
      <c r="J9" s="379"/>
      <c r="K9" s="379">
        <v>2</v>
      </c>
      <c r="L9" s="379"/>
      <c r="M9" s="379"/>
      <c r="N9" s="379" t="s">
        <v>359</v>
      </c>
      <c r="O9" s="379" t="s">
        <v>360</v>
      </c>
      <c r="P9" s="421" t="s">
        <v>577</v>
      </c>
      <c r="Q9" s="379" t="s">
        <v>362</v>
      </c>
      <c r="R9" s="379">
        <v>2</v>
      </c>
      <c r="S9" s="379" t="s">
        <v>578</v>
      </c>
      <c r="T9" s="379" t="s">
        <v>363</v>
      </c>
      <c r="U9" s="379" t="s">
        <v>579</v>
      </c>
      <c r="V9" s="379" t="s">
        <v>360</v>
      </c>
      <c r="W9" s="381" t="s">
        <v>364</v>
      </c>
      <c r="X9" s="379"/>
      <c r="Y9" s="379"/>
      <c r="Z9" s="380"/>
      <c r="AA9" s="379"/>
      <c r="AB9" s="379"/>
      <c r="AC9" s="379"/>
      <c r="AD9" s="381" t="s">
        <v>370</v>
      </c>
      <c r="AE9" s="382" t="s">
        <v>105</v>
      </c>
      <c r="AF9" s="383">
        <v>33</v>
      </c>
      <c r="AG9" s="383">
        <v>25</v>
      </c>
      <c r="AH9" s="384">
        <v>3650</v>
      </c>
      <c r="AI9" s="384">
        <v>58.4</v>
      </c>
      <c r="AJ9" s="384">
        <v>2920</v>
      </c>
      <c r="AK9" s="384">
        <v>36.5</v>
      </c>
    </row>
    <row r="10" spans="1:37" x14ac:dyDescent="0.2">
      <c r="A10" s="373" t="s">
        <v>481</v>
      </c>
      <c r="B10" s="373">
        <v>75</v>
      </c>
      <c r="C10" s="373">
        <v>75</v>
      </c>
      <c r="D10" s="373" t="s">
        <v>444</v>
      </c>
      <c r="E10" s="373" t="s">
        <v>461</v>
      </c>
      <c r="F10" s="373"/>
      <c r="G10" s="373" t="s">
        <v>407</v>
      </c>
      <c r="H10" s="421" t="s">
        <v>575</v>
      </c>
      <c r="I10" s="373" t="s">
        <v>576</v>
      </c>
      <c r="J10" s="373"/>
      <c r="K10" s="373">
        <v>2</v>
      </c>
      <c r="L10" s="373"/>
      <c r="M10" s="373"/>
      <c r="N10" s="373" t="s">
        <v>359</v>
      </c>
      <c r="O10" s="373" t="s">
        <v>360</v>
      </c>
      <c r="P10" s="421" t="s">
        <v>577</v>
      </c>
      <c r="Q10" s="373" t="s">
        <v>362</v>
      </c>
      <c r="R10" s="373">
        <v>2</v>
      </c>
      <c r="S10" s="373" t="s">
        <v>578</v>
      </c>
      <c r="T10" s="373" t="s">
        <v>363</v>
      </c>
      <c r="U10" s="373" t="s">
        <v>579</v>
      </c>
      <c r="V10" s="373" t="s">
        <v>360</v>
      </c>
      <c r="W10" s="375" t="s">
        <v>364</v>
      </c>
      <c r="X10" s="373"/>
      <c r="Y10" s="373"/>
      <c r="Z10" s="374"/>
      <c r="AA10" s="373"/>
      <c r="AB10" s="373"/>
      <c r="AC10" s="373"/>
      <c r="AD10" s="375" t="s">
        <v>370</v>
      </c>
      <c r="AE10" s="376" t="s">
        <v>105</v>
      </c>
      <c r="AF10" s="377">
        <v>33</v>
      </c>
      <c r="AG10" s="377">
        <v>25</v>
      </c>
      <c r="AH10" s="378">
        <v>3650</v>
      </c>
      <c r="AI10" s="378">
        <v>58.4</v>
      </c>
      <c r="AJ10" s="378">
        <v>2920</v>
      </c>
      <c r="AK10" s="378">
        <v>36.5</v>
      </c>
    </row>
    <row r="11" spans="1:37" x14ac:dyDescent="0.2">
      <c r="A11" s="373" t="s">
        <v>481</v>
      </c>
      <c r="B11" s="373">
        <v>77</v>
      </c>
      <c r="C11" s="373">
        <v>77</v>
      </c>
      <c r="D11" s="373" t="s">
        <v>444</v>
      </c>
      <c r="E11" s="373" t="s">
        <v>462</v>
      </c>
      <c r="F11" s="373"/>
      <c r="G11" s="373" t="s">
        <v>407</v>
      </c>
      <c r="H11" s="421" t="s">
        <v>575</v>
      </c>
      <c r="I11" s="373" t="s">
        <v>576</v>
      </c>
      <c r="J11" s="373"/>
      <c r="K11" s="373">
        <v>2</v>
      </c>
      <c r="L11" s="373"/>
      <c r="M11" s="373"/>
      <c r="N11" s="373" t="s">
        <v>359</v>
      </c>
      <c r="O11" s="373" t="s">
        <v>360</v>
      </c>
      <c r="P11" s="421" t="s">
        <v>577</v>
      </c>
      <c r="Q11" s="373" t="s">
        <v>362</v>
      </c>
      <c r="R11" s="373">
        <v>2</v>
      </c>
      <c r="S11" s="373" t="s">
        <v>578</v>
      </c>
      <c r="T11" s="373" t="s">
        <v>363</v>
      </c>
      <c r="U11" s="373" t="s">
        <v>579</v>
      </c>
      <c r="V11" s="373" t="s">
        <v>360</v>
      </c>
      <c r="W11" s="375" t="s">
        <v>364</v>
      </c>
      <c r="X11" s="373"/>
      <c r="Y11" s="373"/>
      <c r="Z11" s="374"/>
      <c r="AA11" s="373"/>
      <c r="AB11" s="373"/>
      <c r="AC11" s="373"/>
      <c r="AD11" s="375" t="s">
        <v>370</v>
      </c>
      <c r="AE11" s="376" t="s">
        <v>105</v>
      </c>
      <c r="AF11" s="377">
        <v>33</v>
      </c>
      <c r="AG11" s="377">
        <v>25</v>
      </c>
      <c r="AH11" s="378">
        <v>3650</v>
      </c>
      <c r="AI11" s="378">
        <v>58.4</v>
      </c>
      <c r="AJ11" s="378">
        <v>2920</v>
      </c>
      <c r="AK11" s="378">
        <v>36.5</v>
      </c>
    </row>
    <row r="12" spans="1:37" x14ac:dyDescent="0.2">
      <c r="A12" s="373"/>
      <c r="B12" s="373"/>
      <c r="C12" s="373"/>
      <c r="D12" s="373"/>
      <c r="E12" s="373"/>
      <c r="F12" s="373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>
        <v>20</v>
      </c>
      <c r="S12" s="373"/>
      <c r="T12" s="373"/>
      <c r="U12" s="373"/>
      <c r="V12" s="373"/>
      <c r="W12" s="375"/>
      <c r="X12" s="373"/>
      <c r="Y12" s="373"/>
      <c r="Z12" s="374"/>
      <c r="AA12" s="373"/>
      <c r="AB12" s="373"/>
      <c r="AC12" s="373"/>
      <c r="AD12" s="375"/>
      <c r="AE12" s="376"/>
      <c r="AF12" s="377"/>
      <c r="AG12" s="377"/>
      <c r="AH12" s="378"/>
      <c r="AI12" s="378"/>
      <c r="AJ12" s="378"/>
      <c r="AK12" s="378"/>
    </row>
    <row r="13" spans="1:37" x14ac:dyDescent="0.2">
      <c r="A13" s="373"/>
      <c r="B13" s="373"/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373"/>
      <c r="U13" s="373"/>
      <c r="V13" s="373"/>
      <c r="W13" s="375"/>
      <c r="X13" s="373"/>
      <c r="Y13" s="373"/>
      <c r="Z13" s="374"/>
      <c r="AA13" s="373"/>
      <c r="AB13" s="373"/>
      <c r="AC13" s="373"/>
      <c r="AD13" s="375"/>
      <c r="AE13" s="376"/>
      <c r="AF13" s="377"/>
      <c r="AG13" s="377"/>
      <c r="AH13" s="378"/>
      <c r="AI13" s="378"/>
      <c r="AJ13" s="378"/>
      <c r="AK13" s="378"/>
    </row>
    <row r="14" spans="1:37" x14ac:dyDescent="0.2">
      <c r="A14" s="379"/>
      <c r="B14" s="379"/>
      <c r="C14" s="379"/>
      <c r="D14" s="379"/>
      <c r="E14" s="379"/>
      <c r="F14" s="379"/>
      <c r="G14" s="379"/>
      <c r="H14" s="379"/>
      <c r="I14" s="379"/>
      <c r="J14" s="379"/>
      <c r="K14" s="379"/>
      <c r="L14" s="379"/>
      <c r="M14" s="379"/>
      <c r="N14" s="379"/>
      <c r="O14" s="379"/>
      <c r="P14" s="379"/>
      <c r="Q14" s="379"/>
      <c r="R14" s="379"/>
      <c r="S14" s="379"/>
      <c r="T14" s="379"/>
      <c r="U14" s="379"/>
      <c r="V14" s="379"/>
      <c r="W14" s="381"/>
      <c r="X14" s="379"/>
      <c r="Y14" s="379"/>
      <c r="Z14" s="380"/>
      <c r="AA14" s="379"/>
      <c r="AB14" s="379"/>
      <c r="AC14" s="379"/>
      <c r="AD14" s="381"/>
      <c r="AE14" s="382"/>
      <c r="AF14" s="383"/>
      <c r="AG14" s="383"/>
      <c r="AH14" s="384"/>
      <c r="AI14" s="384"/>
      <c r="AJ14" s="384"/>
      <c r="AK14" s="384"/>
    </row>
    <row r="15" spans="1:37" x14ac:dyDescent="0.2">
      <c r="A15" s="373"/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373"/>
      <c r="U15" s="373"/>
      <c r="V15" s="373"/>
      <c r="W15" s="375"/>
      <c r="X15" s="373"/>
      <c r="Y15" s="373"/>
      <c r="Z15" s="374"/>
      <c r="AA15" s="373"/>
      <c r="AB15" s="373"/>
      <c r="AC15" s="373"/>
      <c r="AD15" s="375"/>
      <c r="AE15" s="376"/>
      <c r="AF15" s="377"/>
      <c r="AG15" s="377"/>
      <c r="AH15" s="378"/>
      <c r="AI15" s="378"/>
      <c r="AJ15" s="378"/>
      <c r="AK15" s="378"/>
    </row>
    <row r="16" spans="1:37" x14ac:dyDescent="0.2">
      <c r="A16" s="379"/>
      <c r="B16" s="379"/>
      <c r="C16" s="379"/>
      <c r="D16" s="379"/>
      <c r="E16" s="379"/>
      <c r="F16" s="379"/>
      <c r="G16" s="379"/>
      <c r="H16" s="379"/>
      <c r="I16" s="379"/>
      <c r="J16" s="379"/>
      <c r="K16" s="379"/>
      <c r="L16" s="379"/>
      <c r="M16" s="379"/>
      <c r="N16" s="379"/>
      <c r="O16" s="379"/>
      <c r="P16" s="379"/>
      <c r="Q16" s="379"/>
      <c r="R16" s="379"/>
      <c r="S16" s="379"/>
      <c r="T16" s="379"/>
      <c r="U16" s="379"/>
      <c r="V16" s="379"/>
      <c r="W16" s="381"/>
      <c r="X16" s="379"/>
      <c r="Y16" s="379"/>
      <c r="Z16" s="380"/>
      <c r="AA16" s="379"/>
      <c r="AB16" s="379"/>
      <c r="AC16" s="379"/>
      <c r="AD16" s="381"/>
      <c r="AE16" s="382"/>
      <c r="AF16" s="383"/>
      <c r="AG16" s="383"/>
      <c r="AH16" s="384"/>
      <c r="AI16" s="384"/>
      <c r="AJ16" s="384"/>
      <c r="AK16" s="384"/>
    </row>
    <row r="17" spans="1:37" ht="16.5" x14ac:dyDescent="0.3">
      <c r="A17" s="373"/>
      <c r="B17" s="373"/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373"/>
      <c r="U17" s="373"/>
      <c r="V17" s="373"/>
      <c r="W17" s="375"/>
      <c r="X17" s="373"/>
      <c r="Y17" s="373"/>
      <c r="Z17" s="374"/>
      <c r="AA17" s="373"/>
      <c r="AB17" s="373"/>
      <c r="AC17" s="373"/>
      <c r="AD17" s="375"/>
      <c r="AE17" s="376"/>
      <c r="AF17" s="377"/>
      <c r="AG17" s="377"/>
      <c r="AH17" s="391" t="s">
        <v>480</v>
      </c>
      <c r="AI17" s="392">
        <v>583.99999999999989</v>
      </c>
      <c r="AJ17" s="392"/>
      <c r="AK17" s="392">
        <v>365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"/>
  <sheetViews>
    <sheetView workbookViewId="0">
      <selection activeCell="H26" sqref="H26"/>
    </sheetView>
  </sheetViews>
  <sheetFormatPr defaultRowHeight="12.75" x14ac:dyDescent="0.2"/>
  <cols>
    <col min="1" max="1" width="4.28515625" bestFit="1" customWidth="1"/>
  </cols>
  <sheetData>
    <row r="1" spans="1:37" ht="51.75" thickBot="1" x14ac:dyDescent="0.3">
      <c r="A1" s="435" t="s">
        <v>124</v>
      </c>
      <c r="B1" s="435" t="s">
        <v>327</v>
      </c>
      <c r="C1" s="435" t="s">
        <v>328</v>
      </c>
      <c r="D1" s="435" t="s">
        <v>329</v>
      </c>
      <c r="E1" s="435" t="s">
        <v>330</v>
      </c>
      <c r="F1" s="435" t="s">
        <v>331</v>
      </c>
      <c r="G1" s="435" t="s">
        <v>332</v>
      </c>
      <c r="H1" s="435" t="s">
        <v>333</v>
      </c>
      <c r="I1" s="435" t="s">
        <v>334</v>
      </c>
      <c r="J1" s="435" t="s">
        <v>335</v>
      </c>
      <c r="K1" s="435" t="s">
        <v>336</v>
      </c>
      <c r="L1" s="435" t="s">
        <v>337</v>
      </c>
      <c r="M1" s="435" t="s">
        <v>338</v>
      </c>
      <c r="N1" s="435" t="s">
        <v>339</v>
      </c>
      <c r="O1" s="435" t="s">
        <v>340</v>
      </c>
      <c r="P1" s="435" t="s">
        <v>341</v>
      </c>
      <c r="Q1" s="435" t="s">
        <v>342</v>
      </c>
      <c r="R1" s="435" t="s">
        <v>343</v>
      </c>
      <c r="S1" s="435" t="s">
        <v>344</v>
      </c>
      <c r="T1" s="435" t="s">
        <v>482</v>
      </c>
      <c r="U1" s="435" t="s">
        <v>346</v>
      </c>
      <c r="V1" s="435" t="s">
        <v>347</v>
      </c>
      <c r="W1" s="435" t="s">
        <v>348</v>
      </c>
      <c r="X1" s="435" t="s">
        <v>349</v>
      </c>
      <c r="Y1" s="435" t="s">
        <v>350</v>
      </c>
      <c r="Z1" s="435" t="s">
        <v>351</v>
      </c>
      <c r="AA1" s="435" t="s">
        <v>352</v>
      </c>
      <c r="AB1" s="435" t="s">
        <v>353</v>
      </c>
      <c r="AC1" s="435" t="s">
        <v>179</v>
      </c>
      <c r="AD1" s="435" t="s">
        <v>354</v>
      </c>
      <c r="AE1" s="435" t="s">
        <v>355</v>
      </c>
      <c r="AF1" s="435" t="s">
        <v>356</v>
      </c>
      <c r="AG1" s="435" t="s">
        <v>278</v>
      </c>
      <c r="AH1" s="435" t="s">
        <v>279</v>
      </c>
      <c r="AI1" s="435" t="s">
        <v>280</v>
      </c>
      <c r="AJ1" s="435" t="s">
        <v>281</v>
      </c>
      <c r="AK1" s="435" t="s">
        <v>282</v>
      </c>
    </row>
    <row r="2" spans="1:37" ht="13.5" thickTop="1" x14ac:dyDescent="0.2">
      <c r="A2" s="442" t="s">
        <v>125</v>
      </c>
      <c r="B2" s="442">
        <v>36</v>
      </c>
      <c r="C2" s="442">
        <v>36</v>
      </c>
      <c r="D2" s="442" t="s">
        <v>444</v>
      </c>
      <c r="E2" s="442" t="s">
        <v>509</v>
      </c>
      <c r="F2" s="442"/>
      <c r="G2" s="442" t="s">
        <v>510</v>
      </c>
      <c r="H2" s="442" t="s">
        <v>380</v>
      </c>
      <c r="I2" s="442" t="s">
        <v>368</v>
      </c>
      <c r="J2" s="442"/>
      <c r="K2" s="442">
        <v>16</v>
      </c>
      <c r="L2" s="442"/>
      <c r="M2" s="442"/>
      <c r="N2" s="442" t="s">
        <v>359</v>
      </c>
      <c r="O2" s="442" t="s">
        <v>360</v>
      </c>
      <c r="P2" s="442" t="s">
        <v>643</v>
      </c>
      <c r="Q2" s="442" t="s">
        <v>362</v>
      </c>
      <c r="R2" s="442">
        <v>8</v>
      </c>
      <c r="S2" s="442" t="s">
        <v>644</v>
      </c>
      <c r="T2" s="442"/>
      <c r="U2" s="442" t="s">
        <v>182</v>
      </c>
      <c r="V2" s="442"/>
      <c r="W2" s="455"/>
      <c r="X2" s="454"/>
      <c r="Y2" s="454"/>
      <c r="Z2" s="443"/>
      <c r="AA2" s="442"/>
      <c r="AB2" s="442"/>
      <c r="AC2" s="442"/>
      <c r="AD2" s="444"/>
      <c r="AE2" s="445" t="s">
        <v>105</v>
      </c>
      <c r="AF2" s="450">
        <v>65</v>
      </c>
      <c r="AG2" s="450">
        <v>43</v>
      </c>
      <c r="AH2" s="451">
        <v>3500</v>
      </c>
      <c r="AI2" s="451">
        <v>616</v>
      </c>
      <c r="AJ2" s="451">
        <v>2100</v>
      </c>
      <c r="AK2" s="451">
        <v>963.2</v>
      </c>
    </row>
    <row r="3" spans="1:37" x14ac:dyDescent="0.2">
      <c r="A3" s="436" t="s">
        <v>125</v>
      </c>
      <c r="B3" s="436">
        <v>43</v>
      </c>
      <c r="C3" s="436">
        <v>43</v>
      </c>
      <c r="D3" s="436" t="s">
        <v>444</v>
      </c>
      <c r="E3" s="436" t="s">
        <v>512</v>
      </c>
      <c r="F3" s="436"/>
      <c r="G3" s="436" t="s">
        <v>510</v>
      </c>
      <c r="H3" s="436" t="s">
        <v>380</v>
      </c>
      <c r="I3" s="436" t="s">
        <v>368</v>
      </c>
      <c r="J3" s="436"/>
      <c r="K3" s="436">
        <v>22</v>
      </c>
      <c r="L3" s="436"/>
      <c r="M3" s="436"/>
      <c r="N3" s="436" t="s">
        <v>359</v>
      </c>
      <c r="O3" s="436" t="s">
        <v>360</v>
      </c>
      <c r="P3" s="442" t="s">
        <v>643</v>
      </c>
      <c r="Q3" s="436" t="s">
        <v>362</v>
      </c>
      <c r="R3" s="436">
        <v>12</v>
      </c>
      <c r="S3" s="436" t="s">
        <v>645</v>
      </c>
      <c r="T3" s="436"/>
      <c r="U3" s="436" t="s">
        <v>182</v>
      </c>
      <c r="V3" s="436"/>
      <c r="W3" s="453"/>
      <c r="X3" s="452"/>
      <c r="Y3" s="452"/>
      <c r="Z3" s="437"/>
      <c r="AA3" s="436"/>
      <c r="AB3" s="436"/>
      <c r="AC3" s="436"/>
      <c r="AD3" s="438"/>
      <c r="AE3" s="439" t="s">
        <v>105</v>
      </c>
      <c r="AF3" s="448">
        <v>65</v>
      </c>
      <c r="AG3" s="448">
        <v>43</v>
      </c>
      <c r="AH3" s="449">
        <v>3500</v>
      </c>
      <c r="AI3" s="449">
        <v>924</v>
      </c>
      <c r="AJ3" s="449">
        <v>2100</v>
      </c>
      <c r="AK3" s="449">
        <v>1324.4</v>
      </c>
    </row>
    <row r="4" spans="1:37" x14ac:dyDescent="0.2">
      <c r="A4" s="442"/>
      <c r="B4" s="442"/>
      <c r="C4" s="442"/>
      <c r="D4" s="442"/>
      <c r="E4" s="442"/>
      <c r="F4" s="442"/>
      <c r="G4" s="442"/>
      <c r="H4" s="442"/>
      <c r="I4" s="442"/>
      <c r="J4" s="442"/>
      <c r="K4" s="442">
        <v>38</v>
      </c>
      <c r="L4" s="442"/>
      <c r="M4" s="442"/>
      <c r="N4" s="442"/>
      <c r="O4" s="442"/>
      <c r="P4" s="442"/>
      <c r="Q4" s="442"/>
      <c r="R4" s="442">
        <v>20</v>
      </c>
      <c r="S4" s="442"/>
      <c r="T4" s="442"/>
      <c r="U4" s="442"/>
      <c r="V4" s="442"/>
      <c r="W4" s="444"/>
      <c r="X4" s="442"/>
      <c r="Y4" s="442"/>
      <c r="Z4" s="443"/>
      <c r="AA4" s="442"/>
      <c r="AB4" s="442"/>
      <c r="AC4" s="442"/>
      <c r="AD4" s="444"/>
      <c r="AE4" s="445"/>
      <c r="AF4" s="446"/>
      <c r="AG4" s="446"/>
      <c r="AH4" s="447"/>
      <c r="AI4" s="447"/>
      <c r="AJ4" s="447"/>
      <c r="AK4" s="447"/>
    </row>
    <row r="5" spans="1:37" x14ac:dyDescent="0.2">
      <c r="A5" s="436"/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8"/>
      <c r="X5" s="436"/>
      <c r="Y5" s="436"/>
      <c r="Z5" s="437"/>
      <c r="AA5" s="436"/>
      <c r="AB5" s="436"/>
      <c r="AC5" s="436"/>
      <c r="AD5" s="438"/>
      <c r="AE5" s="439"/>
      <c r="AF5" s="440"/>
      <c r="AG5" s="440"/>
      <c r="AH5" s="441"/>
      <c r="AI5" s="441"/>
      <c r="AJ5" s="441"/>
      <c r="AK5" s="441"/>
    </row>
    <row r="6" spans="1:37" x14ac:dyDescent="0.2">
      <c r="A6" s="442"/>
      <c r="B6" s="442"/>
      <c r="C6" s="442"/>
      <c r="D6" s="442"/>
      <c r="E6" s="442"/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4"/>
      <c r="X6" s="442"/>
      <c r="Y6" s="442"/>
      <c r="Z6" s="443"/>
      <c r="AA6" s="442"/>
      <c r="AB6" s="442"/>
      <c r="AC6" s="442"/>
      <c r="AD6" s="444"/>
      <c r="AE6" s="445"/>
      <c r="AF6" s="446"/>
      <c r="AG6" s="446"/>
      <c r="AH6" s="447"/>
      <c r="AI6" s="447"/>
      <c r="AJ6" s="447"/>
      <c r="AK6" s="447"/>
    </row>
    <row r="7" spans="1:37" ht="16.5" x14ac:dyDescent="0.3">
      <c r="A7" s="436"/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8"/>
      <c r="X7" s="436"/>
      <c r="Y7" s="436"/>
      <c r="Z7" s="437"/>
      <c r="AA7" s="436"/>
      <c r="AB7" s="436"/>
      <c r="AC7" s="436"/>
      <c r="AD7" s="438"/>
      <c r="AE7" s="439"/>
      <c r="AF7" s="440"/>
      <c r="AG7" s="440"/>
      <c r="AH7" s="456" t="s">
        <v>480</v>
      </c>
      <c r="AI7" s="457">
        <v>1540</v>
      </c>
      <c r="AJ7" s="457"/>
      <c r="AK7" s="457">
        <v>2287.6000000000004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9"/>
  <sheetViews>
    <sheetView zoomScale="55" zoomScaleNormal="55" workbookViewId="0">
      <selection activeCell="K65" sqref="K65"/>
    </sheetView>
  </sheetViews>
  <sheetFormatPr defaultColWidth="9.140625" defaultRowHeight="15" x14ac:dyDescent="0.25"/>
  <cols>
    <col min="1" max="1" width="29.7109375" style="145" customWidth="1"/>
    <col min="2" max="4" width="12.85546875" style="145" customWidth="1"/>
    <col min="5" max="5" width="12.85546875" style="144" customWidth="1"/>
    <col min="6" max="7" width="12.85546875" style="145" customWidth="1"/>
    <col min="8" max="9" width="12.85546875" style="147" customWidth="1"/>
    <col min="10" max="11" width="12.85546875" style="146" customWidth="1"/>
    <col min="12" max="12" width="12.85546875" style="145" customWidth="1"/>
    <col min="13" max="13" width="4.140625" style="145" customWidth="1"/>
    <col min="14" max="14" width="12.85546875" style="145" customWidth="1"/>
    <col min="15" max="16384" width="9.140625" style="145"/>
  </cols>
  <sheetData>
    <row r="2" spans="1:14" x14ac:dyDescent="0.25">
      <c r="A2" s="145" t="s">
        <v>90</v>
      </c>
    </row>
    <row r="3" spans="1:14" x14ac:dyDescent="0.25">
      <c r="A3" s="145" t="s">
        <v>647</v>
      </c>
    </row>
    <row r="5" spans="1:14" s="460" customFormat="1" ht="12.75" x14ac:dyDescent="0.2">
      <c r="A5" s="459" t="s">
        <v>648</v>
      </c>
    </row>
    <row r="6" spans="1:14" s="460" customFormat="1" ht="12.75" x14ac:dyDescent="0.2">
      <c r="A6" s="461" t="s">
        <v>649</v>
      </c>
    </row>
    <row r="7" spans="1:14" s="460" customFormat="1" ht="12.75" x14ac:dyDescent="0.2">
      <c r="A7" s="903"/>
      <c r="B7" s="903"/>
      <c r="C7" s="903"/>
      <c r="D7" s="904"/>
      <c r="E7" s="905" t="s">
        <v>650</v>
      </c>
      <c r="F7" s="906"/>
      <c r="G7" s="906"/>
      <c r="H7" s="907"/>
      <c r="I7" s="905" t="s">
        <v>286</v>
      </c>
      <c r="J7" s="906"/>
      <c r="K7" s="906"/>
      <c r="L7" s="907"/>
    </row>
    <row r="8" spans="1:14" s="460" customFormat="1" ht="25.5" x14ac:dyDescent="0.2">
      <c r="A8" s="462" t="s">
        <v>124</v>
      </c>
      <c r="B8" s="462" t="s">
        <v>651</v>
      </c>
      <c r="C8" s="462" t="s">
        <v>652</v>
      </c>
      <c r="D8" s="463" t="s">
        <v>7</v>
      </c>
      <c r="E8" s="462" t="s">
        <v>653</v>
      </c>
      <c r="F8" s="462" t="s">
        <v>654</v>
      </c>
      <c r="G8" s="462" t="s">
        <v>655</v>
      </c>
      <c r="H8" s="462" t="s">
        <v>656</v>
      </c>
      <c r="I8" s="462" t="s">
        <v>653</v>
      </c>
      <c r="J8" s="462" t="s">
        <v>654</v>
      </c>
      <c r="K8" s="462" t="s">
        <v>655</v>
      </c>
      <c r="L8" s="462" t="s">
        <v>656</v>
      </c>
      <c r="N8" s="491"/>
    </row>
    <row r="9" spans="1:14" s="460" customFormat="1" ht="25.5" x14ac:dyDescent="0.2">
      <c r="A9" s="464" t="s">
        <v>94</v>
      </c>
      <c r="B9" s="464" t="s">
        <v>657</v>
      </c>
      <c r="C9" s="464" t="s">
        <v>658</v>
      </c>
      <c r="D9" s="465">
        <v>3</v>
      </c>
      <c r="E9" s="465">
        <v>4</v>
      </c>
      <c r="F9" s="466" t="s">
        <v>659</v>
      </c>
      <c r="G9" s="466" t="s">
        <v>660</v>
      </c>
      <c r="H9" s="465">
        <v>9</v>
      </c>
      <c r="I9" s="465">
        <v>4</v>
      </c>
      <c r="J9" s="466" t="s">
        <v>659</v>
      </c>
      <c r="K9" s="464" t="s">
        <v>661</v>
      </c>
      <c r="L9" s="465">
        <v>11</v>
      </c>
    </row>
    <row r="10" spans="1:14" s="460" customFormat="1" ht="17.45" customHeight="1" x14ac:dyDescent="0.2">
      <c r="A10" s="492" t="s">
        <v>94</v>
      </c>
      <c r="B10" s="492" t="s">
        <v>751</v>
      </c>
      <c r="C10" s="492" t="s">
        <v>752</v>
      </c>
      <c r="D10" s="493">
        <v>2</v>
      </c>
      <c r="E10" s="493">
        <v>4</v>
      </c>
      <c r="F10" s="494" t="s">
        <v>659</v>
      </c>
      <c r="G10" s="494" t="s">
        <v>660</v>
      </c>
      <c r="H10" s="493">
        <v>9</v>
      </c>
      <c r="I10" s="493">
        <v>4</v>
      </c>
      <c r="J10" s="494" t="s">
        <v>659</v>
      </c>
      <c r="K10" s="492" t="s">
        <v>661</v>
      </c>
      <c r="L10" s="493">
        <v>11</v>
      </c>
    </row>
    <row r="11" spans="1:14" s="460" customFormat="1" ht="25.5" x14ac:dyDescent="0.2">
      <c r="A11" s="495" t="s">
        <v>95</v>
      </c>
      <c r="B11" s="495" t="s">
        <v>662</v>
      </c>
      <c r="C11" s="495" t="s">
        <v>663</v>
      </c>
      <c r="D11" s="496">
        <v>1</v>
      </c>
      <c r="E11" s="496">
        <v>4</v>
      </c>
      <c r="F11" s="497" t="s">
        <v>659</v>
      </c>
      <c r="G11" s="497" t="s">
        <v>660</v>
      </c>
      <c r="H11" s="496">
        <v>9</v>
      </c>
      <c r="I11" s="496">
        <v>4</v>
      </c>
      <c r="J11" s="497" t="s">
        <v>659</v>
      </c>
      <c r="K11" s="495" t="s">
        <v>661</v>
      </c>
      <c r="L11" s="496">
        <v>11</v>
      </c>
    </row>
    <row r="12" spans="1:14" s="460" customFormat="1" ht="25.5" x14ac:dyDescent="0.2">
      <c r="A12" s="464" t="s">
        <v>95</v>
      </c>
      <c r="B12" s="464" t="s">
        <v>664</v>
      </c>
      <c r="C12" s="464" t="s">
        <v>665</v>
      </c>
      <c r="D12" s="465">
        <v>2</v>
      </c>
      <c r="E12" s="465">
        <v>3.5</v>
      </c>
      <c r="F12" s="466" t="s">
        <v>659</v>
      </c>
      <c r="G12" s="466" t="s">
        <v>660</v>
      </c>
      <c r="H12" s="465">
        <v>9</v>
      </c>
      <c r="I12" s="465">
        <v>3.5</v>
      </c>
      <c r="J12" s="466" t="s">
        <v>659</v>
      </c>
      <c r="K12" s="464" t="s">
        <v>666</v>
      </c>
      <c r="L12" s="465">
        <v>11</v>
      </c>
    </row>
    <row r="13" spans="1:14" s="460" customFormat="1" ht="25.5" x14ac:dyDescent="0.2">
      <c r="A13" s="464" t="s">
        <v>95</v>
      </c>
      <c r="B13" s="464" t="s">
        <v>667</v>
      </c>
      <c r="C13" s="464" t="s">
        <v>668</v>
      </c>
      <c r="D13" s="465">
        <v>2</v>
      </c>
      <c r="E13" s="465">
        <v>3.8</v>
      </c>
      <c r="F13" s="466" t="s">
        <v>659</v>
      </c>
      <c r="G13" s="466" t="s">
        <v>660</v>
      </c>
      <c r="H13" s="465">
        <v>9</v>
      </c>
      <c r="I13" s="465">
        <v>4</v>
      </c>
      <c r="J13" s="466" t="s">
        <v>659</v>
      </c>
      <c r="K13" s="464" t="s">
        <v>661</v>
      </c>
      <c r="L13" s="465">
        <v>11</v>
      </c>
    </row>
    <row r="14" spans="1:14" s="460" customFormat="1" ht="25.5" x14ac:dyDescent="0.2">
      <c r="A14" s="492" t="s">
        <v>95</v>
      </c>
      <c r="B14" s="492" t="s">
        <v>669</v>
      </c>
      <c r="C14" s="492" t="s">
        <v>660</v>
      </c>
      <c r="D14" s="493">
        <v>1</v>
      </c>
      <c r="E14" s="493">
        <v>3.8</v>
      </c>
      <c r="F14" s="494" t="s">
        <v>659</v>
      </c>
      <c r="G14" s="494" t="s">
        <v>660</v>
      </c>
      <c r="H14" s="493">
        <v>9</v>
      </c>
      <c r="I14" s="493">
        <v>4</v>
      </c>
      <c r="J14" s="494" t="s">
        <v>659</v>
      </c>
      <c r="K14" s="492" t="s">
        <v>661</v>
      </c>
      <c r="L14" s="493">
        <v>11</v>
      </c>
    </row>
    <row r="15" spans="1:14" s="460" customFormat="1" ht="25.5" x14ac:dyDescent="0.2">
      <c r="A15" s="495" t="s">
        <v>97</v>
      </c>
      <c r="B15" s="495" t="s">
        <v>670</v>
      </c>
      <c r="C15" s="495" t="s">
        <v>671</v>
      </c>
      <c r="D15" s="496">
        <v>5</v>
      </c>
      <c r="E15" s="496">
        <v>4</v>
      </c>
      <c r="F15" s="497" t="s">
        <v>659</v>
      </c>
      <c r="G15" s="497" t="s">
        <v>660</v>
      </c>
      <c r="H15" s="496">
        <v>9</v>
      </c>
      <c r="I15" s="496">
        <v>4</v>
      </c>
      <c r="J15" s="497" t="s">
        <v>659</v>
      </c>
      <c r="K15" s="495" t="s">
        <v>661</v>
      </c>
      <c r="L15" s="496">
        <v>11</v>
      </c>
    </row>
    <row r="16" spans="1:14" s="460" customFormat="1" ht="12.75" x14ac:dyDescent="0.2">
      <c r="B16" s="120"/>
      <c r="C16" s="467" t="s">
        <v>672</v>
      </c>
      <c r="D16" s="468">
        <f>SUM(D9:D15)</f>
        <v>16</v>
      </c>
      <c r="E16" s="468">
        <f>SUM(E9:E15)</f>
        <v>27.1</v>
      </c>
      <c r="H16" s="120"/>
      <c r="I16" s="120"/>
      <c r="J16" s="120"/>
      <c r="K16" s="468"/>
      <c r="L16" s="468"/>
    </row>
    <row r="17" spans="1:11" s="460" customFormat="1" ht="12.75" x14ac:dyDescent="0.2">
      <c r="A17" s="120"/>
      <c r="B17" s="120"/>
      <c r="C17" s="120"/>
      <c r="D17" s="120"/>
      <c r="E17" s="467"/>
      <c r="F17" s="468"/>
      <c r="G17" s="120"/>
      <c r="H17" s="120"/>
      <c r="I17" s="120"/>
      <c r="J17" s="468"/>
      <c r="K17" s="468"/>
    </row>
    <row r="18" spans="1:11" x14ac:dyDescent="0.25">
      <c r="A18" s="145" t="s">
        <v>673</v>
      </c>
    </row>
    <row r="19" spans="1:11" ht="45" x14ac:dyDescent="0.25">
      <c r="A19" s="462" t="s">
        <v>653</v>
      </c>
      <c r="B19" s="469" t="s">
        <v>674</v>
      </c>
      <c r="C19" s="469" t="s">
        <v>675</v>
      </c>
      <c r="D19" s="469" t="s">
        <v>676</v>
      </c>
      <c r="E19" s="147"/>
      <c r="F19" s="147"/>
      <c r="G19" s="146"/>
      <c r="H19" s="146"/>
      <c r="I19" s="145"/>
      <c r="J19" s="145"/>
      <c r="K19" s="145"/>
    </row>
    <row r="20" spans="1:11" x14ac:dyDescent="0.25">
      <c r="A20" s="470"/>
      <c r="B20" s="470" t="s">
        <v>25</v>
      </c>
      <c r="C20" s="470" t="s">
        <v>25</v>
      </c>
      <c r="D20" s="470" t="s">
        <v>25</v>
      </c>
      <c r="E20" s="147"/>
      <c r="F20" s="147"/>
      <c r="G20" s="146"/>
      <c r="H20" s="146"/>
      <c r="I20" s="145"/>
      <c r="J20" s="145"/>
      <c r="K20" s="145"/>
    </row>
    <row r="21" spans="1:11" x14ac:dyDescent="0.25">
      <c r="A21" s="471">
        <v>3.5</v>
      </c>
      <c r="B21" s="472">
        <v>13092</v>
      </c>
      <c r="C21" s="472">
        <v>9002</v>
      </c>
      <c r="D21" s="223">
        <f>(B21-C21)</f>
        <v>4090</v>
      </c>
      <c r="E21" s="147"/>
      <c r="F21" s="147"/>
      <c r="G21" s="146"/>
      <c r="H21" s="146"/>
      <c r="I21" s="145"/>
      <c r="J21" s="145"/>
      <c r="K21" s="145"/>
    </row>
    <row r="22" spans="1:11" x14ac:dyDescent="0.25">
      <c r="A22" s="473">
        <v>4</v>
      </c>
      <c r="B22" s="474">
        <v>13273</v>
      </c>
      <c r="C22" s="223">
        <v>9010</v>
      </c>
      <c r="D22" s="223">
        <f>(B22-C22)</f>
        <v>4263</v>
      </c>
      <c r="E22" s="147"/>
      <c r="F22" s="147"/>
      <c r="G22" s="146"/>
      <c r="H22" s="146"/>
      <c r="I22" s="145"/>
      <c r="J22" s="145"/>
      <c r="K22" s="145"/>
    </row>
    <row r="23" spans="1:11" x14ac:dyDescent="0.25">
      <c r="A23" s="475"/>
      <c r="B23" s="476"/>
      <c r="C23" s="320"/>
      <c r="D23" s="320"/>
      <c r="E23" s="147"/>
      <c r="F23" s="147"/>
      <c r="G23" s="146"/>
      <c r="H23" s="146"/>
      <c r="I23" s="145"/>
      <c r="J23" s="145"/>
      <c r="K23" s="145"/>
    </row>
    <row r="24" spans="1:11" x14ac:dyDescent="0.25">
      <c r="A24" s="145" t="s">
        <v>677</v>
      </c>
    </row>
    <row r="25" spans="1:11" s="148" customFormat="1" ht="45" x14ac:dyDescent="0.25">
      <c r="A25" s="477" t="s">
        <v>91</v>
      </c>
      <c r="B25" s="477" t="s">
        <v>92</v>
      </c>
      <c r="C25" s="477" t="s">
        <v>678</v>
      </c>
      <c r="D25" s="477" t="s">
        <v>679</v>
      </c>
      <c r="E25" s="478" t="s">
        <v>93</v>
      </c>
      <c r="F25" s="479" t="s">
        <v>31</v>
      </c>
      <c r="G25" s="479" t="s">
        <v>102</v>
      </c>
      <c r="H25" s="477" t="s">
        <v>680</v>
      </c>
      <c r="I25" s="477" t="s">
        <v>681</v>
      </c>
      <c r="J25" s="477" t="s">
        <v>702</v>
      </c>
    </row>
    <row r="26" spans="1:11" s="149" customFormat="1" x14ac:dyDescent="0.25">
      <c r="A26" s="480"/>
      <c r="B26" s="480"/>
      <c r="C26" s="480"/>
      <c r="D26" s="480"/>
      <c r="E26" s="481"/>
      <c r="F26" s="482" t="s">
        <v>25</v>
      </c>
      <c r="G26" s="482" t="s">
        <v>103</v>
      </c>
      <c r="H26" s="480"/>
      <c r="I26" s="480"/>
      <c r="J26" s="480" t="s">
        <v>703</v>
      </c>
    </row>
    <row r="27" spans="1:11" x14ac:dyDescent="0.25">
      <c r="A27" s="150" t="s">
        <v>94</v>
      </c>
      <c r="B27" s="151"/>
      <c r="C27" s="151"/>
      <c r="D27" s="152"/>
      <c r="E27" s="151"/>
      <c r="F27" s="483"/>
      <c r="G27" s="483"/>
      <c r="H27" s="153"/>
      <c r="I27" s="153"/>
      <c r="J27" s="153"/>
      <c r="K27" s="145"/>
    </row>
    <row r="28" spans="1:11" ht="30.6" customHeight="1" x14ac:dyDescent="0.25">
      <c r="A28" s="154" t="s">
        <v>753</v>
      </c>
      <c r="B28" s="151">
        <v>4</v>
      </c>
      <c r="C28" s="151">
        <v>9</v>
      </c>
      <c r="D28" s="151">
        <v>11</v>
      </c>
      <c r="E28" s="151">
        <v>5</v>
      </c>
      <c r="F28" s="483">
        <f>E28*D22</f>
        <v>21315</v>
      </c>
      <c r="G28" s="483"/>
      <c r="H28" s="153">
        <v>5992.0000000000009</v>
      </c>
      <c r="I28" s="153">
        <v>3500</v>
      </c>
      <c r="J28" s="153">
        <f>F28*'Uti Rates &amp; Lighting Caps'!B5</f>
        <v>3367.77</v>
      </c>
      <c r="K28" s="145" t="s">
        <v>754</v>
      </c>
    </row>
    <row r="29" spans="1:11" s="155" customFormat="1" x14ac:dyDescent="0.25">
      <c r="A29" s="484"/>
      <c r="B29" s="484"/>
      <c r="C29" s="484"/>
      <c r="D29" s="484"/>
      <c r="E29" s="485">
        <f t="shared" ref="E29" si="0">SUM(E28)</f>
        <v>5</v>
      </c>
      <c r="F29" s="486">
        <f>SUM(F28)</f>
        <v>21315</v>
      </c>
      <c r="G29" s="486">
        <f>SUM(G28)</f>
        <v>0</v>
      </c>
      <c r="H29" s="487">
        <f>SUMPRODUCT($E28,H28)</f>
        <v>29960.000000000004</v>
      </c>
      <c r="I29" s="487">
        <f>SUMPRODUCT($E28,I28)</f>
        <v>17500</v>
      </c>
      <c r="J29" s="487">
        <f>F29*'Uti Rates &amp; Lighting Caps'!B5</f>
        <v>3367.77</v>
      </c>
    </row>
    <row r="30" spans="1:11" x14ac:dyDescent="0.25">
      <c r="A30" s="488" t="s">
        <v>95</v>
      </c>
      <c r="B30" s="151"/>
      <c r="C30" s="151"/>
      <c r="D30" s="152"/>
      <c r="E30" s="151"/>
      <c r="F30" s="483"/>
      <c r="G30" s="483"/>
      <c r="H30" s="153"/>
      <c r="I30" s="153"/>
      <c r="J30" s="153"/>
      <c r="K30" s="145"/>
    </row>
    <row r="31" spans="1:11" x14ac:dyDescent="0.25">
      <c r="A31" s="154" t="s">
        <v>96</v>
      </c>
      <c r="B31" s="151">
        <v>3.5</v>
      </c>
      <c r="C31" s="151">
        <v>9</v>
      </c>
      <c r="D31" s="151">
        <v>11</v>
      </c>
      <c r="E31" s="151">
        <v>2</v>
      </c>
      <c r="F31" s="483">
        <f>E31*D21</f>
        <v>8180</v>
      </c>
      <c r="G31" s="483"/>
      <c r="H31" s="153">
        <v>5591</v>
      </c>
      <c r="I31" s="153">
        <v>3500</v>
      </c>
      <c r="J31" s="153">
        <f>F31*'Uti Rates &amp; Lighting Caps'!B4</f>
        <v>1251.54</v>
      </c>
      <c r="K31" s="145"/>
    </row>
    <row r="32" spans="1:11" ht="30" x14ac:dyDescent="0.25">
      <c r="A32" s="154" t="s">
        <v>682</v>
      </c>
      <c r="B32" s="547" t="s">
        <v>704</v>
      </c>
      <c r="C32" s="151">
        <v>9</v>
      </c>
      <c r="D32" s="151">
        <v>11</v>
      </c>
      <c r="E32" s="151">
        <v>4</v>
      </c>
      <c r="F32" s="483">
        <f>E32*D22</f>
        <v>17052</v>
      </c>
      <c r="G32" s="483"/>
      <c r="H32" s="153">
        <v>5992.0000000000009</v>
      </c>
      <c r="I32" s="153">
        <v>3500</v>
      </c>
      <c r="J32" s="153">
        <f>F32*'Uti Rates &amp; Lighting Caps'!B4</f>
        <v>2608.9560000000001</v>
      </c>
      <c r="K32" s="145"/>
    </row>
    <row r="33" spans="1:13" s="155" customFormat="1" x14ac:dyDescent="0.25">
      <c r="A33" s="484"/>
      <c r="B33" s="484"/>
      <c r="C33" s="484"/>
      <c r="D33" s="484"/>
      <c r="E33" s="485">
        <f>SUM(E31:E32)</f>
        <v>6</v>
      </c>
      <c r="F33" s="486">
        <f>SUM(F31:F32)</f>
        <v>25232</v>
      </c>
      <c r="G33" s="486">
        <f>SUM(G31:G32)</f>
        <v>0</v>
      </c>
      <c r="H33" s="487">
        <f>SUMPRODUCT($E31:$E32,H31:H32)</f>
        <v>35150</v>
      </c>
      <c r="I33" s="487">
        <f>SUMPRODUCT($E31:$E32,I31:I32)</f>
        <v>21000</v>
      </c>
      <c r="J33" s="487">
        <f>F33*'Uti Rates &amp; Lighting Caps'!B4</f>
        <v>3860.4960000000001</v>
      </c>
    </row>
    <row r="34" spans="1:13" x14ac:dyDescent="0.25">
      <c r="A34" s="488" t="s">
        <v>97</v>
      </c>
      <c r="B34" s="151"/>
      <c r="C34" s="151"/>
      <c r="D34" s="152"/>
      <c r="E34" s="151"/>
      <c r="F34" s="483"/>
      <c r="G34" s="483"/>
      <c r="H34" s="153"/>
      <c r="I34" s="153"/>
      <c r="J34" s="153"/>
      <c r="K34" s="145"/>
    </row>
    <row r="35" spans="1:13" x14ac:dyDescent="0.25">
      <c r="A35" s="156" t="s">
        <v>98</v>
      </c>
      <c r="B35" s="151">
        <v>4</v>
      </c>
      <c r="C35" s="151">
        <v>9</v>
      </c>
      <c r="D35" s="151">
        <v>11</v>
      </c>
      <c r="E35" s="151">
        <v>5</v>
      </c>
      <c r="F35" s="483">
        <f>E35*D22</f>
        <v>21315</v>
      </c>
      <c r="G35" s="483"/>
      <c r="H35" s="153">
        <v>5992.0000000000009</v>
      </c>
      <c r="I35" s="153">
        <v>3500</v>
      </c>
      <c r="J35" s="153">
        <f>F35*'Uti Rates &amp; Lighting Caps'!B3</f>
        <v>4902.45</v>
      </c>
      <c r="K35" s="145"/>
    </row>
    <row r="36" spans="1:13" s="155" customFormat="1" x14ac:dyDescent="0.25">
      <c r="A36" s="484"/>
      <c r="B36" s="484"/>
      <c r="C36" s="484"/>
      <c r="D36" s="484"/>
      <c r="E36" s="485">
        <f t="shared" ref="E36" si="1">SUM(E35)</f>
        <v>5</v>
      </c>
      <c r="F36" s="486">
        <f>SUM(F35)</f>
        <v>21315</v>
      </c>
      <c r="G36" s="486">
        <f>SUM(G35)</f>
        <v>0</v>
      </c>
      <c r="H36" s="487">
        <f>SUMPRODUCT($E35,H35)</f>
        <v>29960.000000000004</v>
      </c>
      <c r="I36" s="487">
        <f>SUMPRODUCT($E35,I35)</f>
        <v>17500</v>
      </c>
      <c r="J36" s="487">
        <f>F36*'Uti Rates &amp; Lighting Caps'!B3</f>
        <v>4902.45</v>
      </c>
    </row>
    <row r="37" spans="1:13" s="460" customFormat="1" ht="12.75" x14ac:dyDescent="0.2">
      <c r="B37" s="120"/>
      <c r="C37" s="467"/>
      <c r="D37" s="468"/>
      <c r="E37" s="468"/>
      <c r="H37" s="120"/>
      <c r="I37" s="120"/>
      <c r="J37" s="120"/>
      <c r="K37" s="468"/>
      <c r="L37" s="468"/>
    </row>
    <row r="38" spans="1:13" s="460" customFormat="1" ht="12.75" x14ac:dyDescent="0.2">
      <c r="B38" s="120"/>
      <c r="C38" s="467"/>
      <c r="D38" s="468"/>
      <c r="E38" s="468"/>
      <c r="H38" s="120"/>
      <c r="I38" s="120"/>
      <c r="J38" s="120"/>
      <c r="K38" s="468"/>
      <c r="L38" s="468"/>
    </row>
    <row r="39" spans="1:13" s="460" customFormat="1" ht="12.75" x14ac:dyDescent="0.2">
      <c r="B39" s="120"/>
      <c r="C39" s="467"/>
      <c r="D39" s="468"/>
      <c r="E39" s="468"/>
      <c r="H39" s="120"/>
      <c r="I39" s="120"/>
      <c r="J39" s="120"/>
      <c r="K39" s="468"/>
      <c r="L39" s="468"/>
    </row>
    <row r="40" spans="1:13" s="460" customFormat="1" ht="12.75" x14ac:dyDescent="0.2">
      <c r="A40" s="459" t="s">
        <v>683</v>
      </c>
    </row>
    <row r="41" spans="1:13" s="460" customFormat="1" ht="12.75" x14ac:dyDescent="0.2">
      <c r="A41" s="461" t="s">
        <v>649</v>
      </c>
    </row>
    <row r="42" spans="1:13" s="460" customFormat="1" ht="12.75" x14ac:dyDescent="0.2">
      <c r="A42" s="903"/>
      <c r="B42" s="903"/>
      <c r="C42" s="903"/>
      <c r="D42" s="904"/>
      <c r="E42" s="905" t="s">
        <v>650</v>
      </c>
      <c r="F42" s="906"/>
      <c r="G42" s="906"/>
      <c r="H42" s="907"/>
      <c r="I42" s="905" t="s">
        <v>286</v>
      </c>
      <c r="J42" s="906"/>
      <c r="K42" s="906"/>
      <c r="L42" s="907"/>
    </row>
    <row r="43" spans="1:13" s="460" customFormat="1" ht="25.5" x14ac:dyDescent="0.2">
      <c r="A43" s="462" t="s">
        <v>124</v>
      </c>
      <c r="B43" s="462" t="s">
        <v>651</v>
      </c>
      <c r="C43" s="462" t="s">
        <v>652</v>
      </c>
      <c r="D43" s="463" t="s">
        <v>7</v>
      </c>
      <c r="E43" s="462" t="s">
        <v>653</v>
      </c>
      <c r="F43" s="462" t="s">
        <v>654</v>
      </c>
      <c r="G43" s="462" t="s">
        <v>655</v>
      </c>
      <c r="H43" s="462" t="s">
        <v>684</v>
      </c>
      <c r="I43" s="462" t="s">
        <v>653</v>
      </c>
      <c r="J43" s="462" t="s">
        <v>654</v>
      </c>
      <c r="K43" s="462" t="s">
        <v>655</v>
      </c>
      <c r="L43" s="462" t="s">
        <v>684</v>
      </c>
    </row>
    <row r="44" spans="1:13" s="460" customFormat="1" ht="25.5" x14ac:dyDescent="0.2">
      <c r="A44" s="464" t="s">
        <v>94</v>
      </c>
      <c r="B44" s="464" t="s">
        <v>685</v>
      </c>
      <c r="C44" s="464" t="s">
        <v>686</v>
      </c>
      <c r="D44" s="465">
        <v>2</v>
      </c>
      <c r="E44" s="465">
        <v>3.5</v>
      </c>
      <c r="F44" s="466" t="s">
        <v>659</v>
      </c>
      <c r="G44" s="466" t="s">
        <v>660</v>
      </c>
      <c r="H44" s="489" t="s">
        <v>687</v>
      </c>
      <c r="I44" s="465">
        <v>4</v>
      </c>
      <c r="J44" s="466" t="s">
        <v>659</v>
      </c>
      <c r="K44" s="464" t="s">
        <v>688</v>
      </c>
      <c r="L44" s="489" t="s">
        <v>689</v>
      </c>
      <c r="M44" s="461" t="s">
        <v>690</v>
      </c>
    </row>
    <row r="45" spans="1:13" s="460" customFormat="1" ht="25.5" x14ac:dyDescent="0.2">
      <c r="A45" s="464" t="s">
        <v>95</v>
      </c>
      <c r="B45" s="464" t="s">
        <v>692</v>
      </c>
      <c r="C45" s="464" t="s">
        <v>693</v>
      </c>
      <c r="D45" s="465">
        <v>3</v>
      </c>
      <c r="E45" s="465">
        <v>3.2</v>
      </c>
      <c r="F45" s="466" t="s">
        <v>659</v>
      </c>
      <c r="G45" s="466" t="s">
        <v>660</v>
      </c>
      <c r="H45" s="489" t="s">
        <v>687</v>
      </c>
      <c r="I45" s="465">
        <v>3</v>
      </c>
      <c r="J45" s="466" t="s">
        <v>659</v>
      </c>
      <c r="K45" s="464" t="s">
        <v>691</v>
      </c>
      <c r="L45" s="489" t="s">
        <v>689</v>
      </c>
      <c r="M45" s="461"/>
    </row>
    <row r="46" spans="1:13" s="460" customFormat="1" ht="25.5" x14ac:dyDescent="0.2">
      <c r="A46" s="464" t="s">
        <v>97</v>
      </c>
      <c r="B46" s="464" t="s">
        <v>694</v>
      </c>
      <c r="C46" s="464" t="s">
        <v>695</v>
      </c>
      <c r="D46" s="465">
        <v>5</v>
      </c>
      <c r="E46" s="465">
        <v>3.5</v>
      </c>
      <c r="F46" s="466" t="s">
        <v>659</v>
      </c>
      <c r="G46" s="466" t="s">
        <v>660</v>
      </c>
      <c r="H46" s="489" t="s">
        <v>687</v>
      </c>
      <c r="I46" s="465">
        <v>4</v>
      </c>
      <c r="J46" s="466" t="s">
        <v>659</v>
      </c>
      <c r="K46" s="464" t="s">
        <v>688</v>
      </c>
      <c r="L46" s="489" t="s">
        <v>689</v>
      </c>
    </row>
    <row r="47" spans="1:13" s="460" customFormat="1" ht="25.5" customHeight="1" x14ac:dyDescent="0.2">
      <c r="A47" s="464" t="s">
        <v>97</v>
      </c>
      <c r="B47" s="464" t="s">
        <v>696</v>
      </c>
      <c r="C47" s="464" t="s">
        <v>697</v>
      </c>
      <c r="D47" s="465">
        <v>2</v>
      </c>
      <c r="E47" s="465">
        <v>3.5</v>
      </c>
      <c r="F47" s="466" t="s">
        <v>659</v>
      </c>
      <c r="G47" s="466" t="s">
        <v>660</v>
      </c>
      <c r="H47" s="489" t="s">
        <v>687</v>
      </c>
      <c r="I47" s="465">
        <v>4</v>
      </c>
      <c r="J47" s="466" t="s">
        <v>659</v>
      </c>
      <c r="K47" s="464" t="s">
        <v>688</v>
      </c>
      <c r="L47" s="489" t="s">
        <v>689</v>
      </c>
    </row>
    <row r="48" spans="1:13" s="460" customFormat="1" ht="12.75" x14ac:dyDescent="0.2">
      <c r="B48" s="120"/>
      <c r="C48" s="467" t="s">
        <v>672</v>
      </c>
      <c r="D48" s="468">
        <f>SUM(D44:D47)</f>
        <v>12</v>
      </c>
      <c r="E48" s="468">
        <f>SUM(E44:E47)</f>
        <v>13.7</v>
      </c>
      <c r="H48" s="120"/>
      <c r="I48" s="120"/>
      <c r="J48" s="120"/>
      <c r="K48" s="468"/>
      <c r="L48" s="468"/>
    </row>
    <row r="50" spans="1:11" x14ac:dyDescent="0.25">
      <c r="A50" s="145" t="s">
        <v>673</v>
      </c>
    </row>
    <row r="51" spans="1:11" ht="45" x14ac:dyDescent="0.25">
      <c r="A51" s="462" t="s">
        <v>653</v>
      </c>
      <c r="B51" s="469" t="s">
        <v>674</v>
      </c>
      <c r="C51" s="469" t="s">
        <v>698</v>
      </c>
      <c r="D51" s="469" t="s">
        <v>675</v>
      </c>
      <c r="E51" s="469" t="s">
        <v>699</v>
      </c>
      <c r="F51" s="469" t="s">
        <v>676</v>
      </c>
      <c r="G51" s="469" t="s">
        <v>700</v>
      </c>
    </row>
    <row r="52" spans="1:11" x14ac:dyDescent="0.25">
      <c r="A52" s="470"/>
      <c r="B52" s="470" t="s">
        <v>25</v>
      </c>
      <c r="C52" s="470" t="s">
        <v>103</v>
      </c>
      <c r="D52" s="470" t="s">
        <v>25</v>
      </c>
      <c r="E52" s="470" t="s">
        <v>103</v>
      </c>
      <c r="F52" s="470" t="s">
        <v>25</v>
      </c>
      <c r="G52" s="470" t="s">
        <v>103</v>
      </c>
    </row>
    <row r="53" spans="1:11" x14ac:dyDescent="0.25">
      <c r="A53" s="471">
        <v>3</v>
      </c>
      <c r="B53" s="472">
        <v>9625</v>
      </c>
      <c r="C53" s="472">
        <v>223</v>
      </c>
      <c r="D53" s="472">
        <v>6834</v>
      </c>
      <c r="E53" s="472">
        <v>222</v>
      </c>
      <c r="F53" s="223">
        <f>(B53-D53)</f>
        <v>2791</v>
      </c>
      <c r="G53" s="223">
        <f>(C53-E53)</f>
        <v>1</v>
      </c>
    </row>
    <row r="54" spans="1:11" x14ac:dyDescent="0.25">
      <c r="A54" s="473">
        <v>4</v>
      </c>
      <c r="B54" s="474">
        <v>9709</v>
      </c>
      <c r="C54" s="474">
        <v>245</v>
      </c>
      <c r="D54" s="223">
        <v>6886</v>
      </c>
      <c r="E54" s="223">
        <v>240</v>
      </c>
      <c r="F54" s="223">
        <f>(B54-D54)</f>
        <v>2823</v>
      </c>
      <c r="G54" s="223">
        <f>(C54-E54)</f>
        <v>5</v>
      </c>
    </row>
    <row r="56" spans="1:11" x14ac:dyDescent="0.25">
      <c r="A56" s="145" t="s">
        <v>677</v>
      </c>
    </row>
    <row r="57" spans="1:11" s="148" customFormat="1" ht="45" x14ac:dyDescent="0.25">
      <c r="A57" s="477" t="s">
        <v>91</v>
      </c>
      <c r="B57" s="477" t="s">
        <v>701</v>
      </c>
      <c r="C57" s="477" t="s">
        <v>678</v>
      </c>
      <c r="D57" s="462" t="s">
        <v>679</v>
      </c>
      <c r="E57" s="478" t="s">
        <v>93</v>
      </c>
      <c r="F57" s="479" t="s">
        <v>31</v>
      </c>
      <c r="G57" s="479" t="s">
        <v>102</v>
      </c>
      <c r="H57" s="477" t="s">
        <v>680</v>
      </c>
      <c r="I57" s="477" t="s">
        <v>681</v>
      </c>
      <c r="J57" s="477" t="s">
        <v>702</v>
      </c>
    </row>
    <row r="58" spans="1:11" s="149" customFormat="1" x14ac:dyDescent="0.25">
      <c r="A58" s="480"/>
      <c r="B58" s="480"/>
      <c r="C58" s="480"/>
      <c r="D58" s="480"/>
      <c r="E58" s="481"/>
      <c r="F58" s="482" t="s">
        <v>25</v>
      </c>
      <c r="G58" s="482" t="s">
        <v>103</v>
      </c>
      <c r="H58" s="480"/>
      <c r="I58" s="480"/>
      <c r="J58" s="480" t="s">
        <v>703</v>
      </c>
    </row>
    <row r="59" spans="1:11" x14ac:dyDescent="0.25">
      <c r="A59" s="488" t="s">
        <v>94</v>
      </c>
      <c r="B59" s="151"/>
      <c r="C59" s="151"/>
      <c r="D59" s="152"/>
      <c r="E59" s="151"/>
      <c r="F59" s="483"/>
      <c r="G59" s="483"/>
      <c r="H59" s="153"/>
      <c r="I59" s="153"/>
      <c r="J59" s="153"/>
      <c r="K59" s="145"/>
    </row>
    <row r="60" spans="1:11" x14ac:dyDescent="0.25">
      <c r="A60" s="490" t="s">
        <v>685</v>
      </c>
      <c r="B60" s="151">
        <v>4</v>
      </c>
      <c r="C60" s="151">
        <v>9</v>
      </c>
      <c r="D60" s="151">
        <v>11</v>
      </c>
      <c r="E60" s="151">
        <v>2</v>
      </c>
      <c r="F60" s="483">
        <f>$E60*F$54</f>
        <v>5646</v>
      </c>
      <c r="G60" s="483">
        <f>$E60*G$54</f>
        <v>10</v>
      </c>
      <c r="H60" s="153">
        <v>8391.0400000000009</v>
      </c>
      <c r="I60" s="153">
        <v>3500</v>
      </c>
      <c r="J60" s="153">
        <f>(F60*'Uti Rates &amp; Lighting Caps'!B5)+(G60*'Uti Rates &amp; Lighting Caps'!C5)</f>
        <v>896.49799999999993</v>
      </c>
      <c r="K60" s="145" t="s">
        <v>754</v>
      </c>
    </row>
    <row r="61" spans="1:11" s="155" customFormat="1" x14ac:dyDescent="0.25">
      <c r="A61" s="484"/>
      <c r="B61" s="484"/>
      <c r="C61" s="484"/>
      <c r="D61" s="484"/>
      <c r="E61" s="485">
        <f>SUM(E60:E60)</f>
        <v>2</v>
      </c>
      <c r="F61" s="486">
        <f>SUM(F60:F60)</f>
        <v>5646</v>
      </c>
      <c r="G61" s="486">
        <f>SUM(G60:G60)</f>
        <v>10</v>
      </c>
      <c r="H61" s="487">
        <f>SUMPRODUCT($E60:$E60,H60:H60)</f>
        <v>16782.080000000002</v>
      </c>
      <c r="I61" s="487">
        <f>SUMPRODUCT($E60:$E60,I60:I60)</f>
        <v>7000</v>
      </c>
      <c r="J61" s="487">
        <f>SUM(J60:J60)</f>
        <v>896.49799999999993</v>
      </c>
    </row>
    <row r="62" spans="1:11" x14ac:dyDescent="0.25">
      <c r="A62" s="488" t="s">
        <v>95</v>
      </c>
      <c r="B62" s="151"/>
      <c r="C62" s="151"/>
      <c r="D62" s="152"/>
      <c r="E62" s="151"/>
      <c r="F62" s="483"/>
      <c r="G62" s="483"/>
      <c r="H62" s="153"/>
      <c r="I62" s="153"/>
      <c r="J62" s="153"/>
      <c r="K62" s="145"/>
    </row>
    <row r="63" spans="1:11" x14ac:dyDescent="0.25">
      <c r="A63" s="154" t="s">
        <v>99</v>
      </c>
      <c r="B63" s="151">
        <v>3</v>
      </c>
      <c r="C63" s="151">
        <v>9</v>
      </c>
      <c r="D63" s="151">
        <v>11</v>
      </c>
      <c r="E63" s="151">
        <v>3</v>
      </c>
      <c r="F63" s="483">
        <f>$E63*F$53</f>
        <v>8373</v>
      </c>
      <c r="G63" s="483">
        <f>$E63*G$53</f>
        <v>3</v>
      </c>
      <c r="H63" s="153">
        <v>7553</v>
      </c>
      <c r="I63" s="153">
        <v>3500</v>
      </c>
      <c r="J63" s="153">
        <f>(F63*'Uti Rates &amp; Lighting Caps'!B4)+('ECM-5 Proj M1a '!G63*'Uti Rates &amp; Lighting Caps'!C4)</f>
        <v>1282.644</v>
      </c>
      <c r="K63" s="145"/>
    </row>
    <row r="64" spans="1:11" s="155" customFormat="1" x14ac:dyDescent="0.25">
      <c r="A64" s="484"/>
      <c r="B64" s="484"/>
      <c r="C64" s="484"/>
      <c r="D64" s="484"/>
      <c r="E64" s="485">
        <f>SUM(E63)</f>
        <v>3</v>
      </c>
      <c r="F64" s="486">
        <f>SUM(F63:F63)</f>
        <v>8373</v>
      </c>
      <c r="G64" s="486">
        <f>SUM(G63:G63)</f>
        <v>3</v>
      </c>
      <c r="H64" s="487">
        <f>SUMPRODUCT($E63,H63)</f>
        <v>22659</v>
      </c>
      <c r="I64" s="487">
        <f>SUMPRODUCT($E63,I63)</f>
        <v>10500</v>
      </c>
      <c r="J64" s="487">
        <f>SUM(J63)</f>
        <v>1282.644</v>
      </c>
    </row>
    <row r="65" spans="1:11" x14ac:dyDescent="0.25">
      <c r="A65" s="488" t="s">
        <v>97</v>
      </c>
      <c r="B65" s="151"/>
      <c r="C65" s="151"/>
      <c r="D65" s="152"/>
      <c r="E65" s="151"/>
      <c r="F65" s="483"/>
      <c r="G65" s="483"/>
      <c r="H65" s="153"/>
      <c r="I65" s="153"/>
      <c r="J65" s="153"/>
      <c r="K65" s="145"/>
    </row>
    <row r="66" spans="1:11" x14ac:dyDescent="0.25">
      <c r="A66" s="156" t="s">
        <v>100</v>
      </c>
      <c r="B66" s="151">
        <v>4</v>
      </c>
      <c r="C66" s="151">
        <v>9</v>
      </c>
      <c r="D66" s="151">
        <v>11</v>
      </c>
      <c r="E66" s="151">
        <v>7</v>
      </c>
      <c r="F66" s="483">
        <f>$E66*F$54</f>
        <v>19761</v>
      </c>
      <c r="G66" s="483">
        <f>$E66*G$54</f>
        <v>35</v>
      </c>
      <c r="H66" s="153">
        <v>8391.0400000000009</v>
      </c>
      <c r="I66" s="153">
        <v>3500</v>
      </c>
      <c r="J66" s="153">
        <f>(F66*'Uti Rates &amp; Lighting Caps'!B3)+('ECM-5 Proj M1a '!G66*'Uti Rates &amp; Lighting Caps'!C3)</f>
        <v>4573.7299999999996</v>
      </c>
      <c r="K66" s="145"/>
    </row>
    <row r="67" spans="1:11" s="155" customFormat="1" x14ac:dyDescent="0.25">
      <c r="A67" s="484"/>
      <c r="B67" s="484"/>
      <c r="C67" s="484"/>
      <c r="D67" s="484"/>
      <c r="E67" s="485">
        <f>SUM(E66)</f>
        <v>7</v>
      </c>
      <c r="F67" s="486">
        <f>SUM(F66:F66)</f>
        <v>19761</v>
      </c>
      <c r="G67" s="486">
        <f>SUM(G66:G66)</f>
        <v>35</v>
      </c>
      <c r="H67" s="487">
        <f>SUMPRODUCT($E66,H66)</f>
        <v>58737.280000000006</v>
      </c>
      <c r="I67" s="487">
        <f>SUMPRODUCT($E66,I66)</f>
        <v>24500</v>
      </c>
      <c r="J67" s="487">
        <f>SUM(J66)</f>
        <v>4573.7299999999996</v>
      </c>
    </row>
    <row r="69" spans="1:11" x14ac:dyDescent="0.25">
      <c r="E69" s="770">
        <f>E67+E64+E61+E36+E33+E29</f>
        <v>28</v>
      </c>
    </row>
  </sheetData>
  <mergeCells count="6">
    <mergeCell ref="A7:D7"/>
    <mergeCell ref="E7:H7"/>
    <mergeCell ref="I7:L7"/>
    <mergeCell ref="A42:D42"/>
    <mergeCell ref="E42:H42"/>
    <mergeCell ref="I42:L42"/>
  </mergeCells>
  <pageMargins left="0.7" right="0.7" top="0.75" bottom="0.75" header="0.3" footer="0.3"/>
  <pageSetup paperSize="3" scale="8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U36"/>
  <sheetViews>
    <sheetView zoomScale="55" zoomScaleNormal="55" zoomScalePageLayoutView="70" workbookViewId="0">
      <pane ySplit="5" topLeftCell="A6" activePane="bottomLeft" state="frozen"/>
      <selection activeCell="E15" sqref="E15"/>
      <selection pane="bottomLeft" activeCell="M6" sqref="M6"/>
    </sheetView>
  </sheetViews>
  <sheetFormatPr defaultColWidth="2.5703125" defaultRowHeight="12.75" outlineLevelCol="1" x14ac:dyDescent="0.2"/>
  <cols>
    <col min="1" max="1" width="8.42578125" style="27" customWidth="1"/>
    <col min="2" max="2" width="35.28515625" style="1" customWidth="1"/>
    <col min="3" max="3" width="22.28515625" style="1" customWidth="1"/>
    <col min="4" max="6" width="25.28515625" style="1" customWidth="1"/>
    <col min="7" max="7" width="13.42578125" style="3" hidden="1" customWidth="1"/>
    <col min="8" max="8" width="19.28515625" hidden="1" customWidth="1"/>
    <col min="9" max="9" width="12.42578125" style="27" hidden="1" customWidth="1"/>
    <col min="10" max="10" width="12.42578125" style="27" customWidth="1"/>
    <col min="11" max="11" width="11.7109375" customWidth="1" outlineLevel="1"/>
    <col min="12" max="12" width="13.140625" customWidth="1" outlineLevel="1"/>
    <col min="13" max="13" width="15.28515625" customWidth="1" outlineLevel="1"/>
    <col min="14" max="14" width="17.5703125" customWidth="1" outlineLevel="1"/>
    <col min="15" max="16" width="16.7109375" style="41" customWidth="1" outlineLevel="1"/>
    <col min="17" max="17" width="18.5703125" customWidth="1" outlineLevel="1"/>
    <col min="18" max="18" width="17.5703125" customWidth="1"/>
    <col min="19" max="19" width="16.7109375" customWidth="1" outlineLevel="1"/>
    <col min="20" max="20" width="13.5703125" customWidth="1" outlineLevel="1"/>
    <col min="21" max="22" width="15" style="27" customWidth="1"/>
    <col min="23" max="23" width="13.5703125" customWidth="1"/>
    <col min="24" max="24" width="11.5703125" style="27" customWidth="1"/>
    <col min="25" max="25" width="3.85546875" customWidth="1"/>
    <col min="26" max="26" width="16.85546875" style="666" customWidth="1"/>
  </cols>
  <sheetData>
    <row r="1" spans="1:47" ht="82.9" customHeight="1" thickBot="1" x14ac:dyDescent="0.25">
      <c r="A1" s="841"/>
      <c r="B1" s="841"/>
      <c r="C1" s="841"/>
      <c r="D1" s="841"/>
      <c r="E1" s="841"/>
      <c r="F1" s="841"/>
      <c r="G1" s="841"/>
      <c r="H1" s="841"/>
      <c r="I1" s="841"/>
      <c r="J1" s="841"/>
      <c r="K1" s="97"/>
    </row>
    <row r="2" spans="1:47" s="12" customFormat="1" ht="20.25" x14ac:dyDescent="0.3">
      <c r="A2" s="842" t="s">
        <v>35</v>
      </c>
      <c r="B2" s="843"/>
      <c r="C2" s="843"/>
      <c r="D2" s="843"/>
      <c r="E2" s="98"/>
      <c r="F2" s="98"/>
      <c r="G2" s="47"/>
      <c r="H2" s="34"/>
      <c r="I2" s="48"/>
      <c r="J2" s="48"/>
      <c r="K2" s="34"/>
      <c r="L2" s="34"/>
      <c r="M2" s="34"/>
      <c r="N2" s="34"/>
      <c r="O2" s="42"/>
      <c r="P2" s="42"/>
      <c r="Q2" s="34"/>
      <c r="R2" s="34"/>
      <c r="S2" s="34"/>
      <c r="T2" s="34"/>
      <c r="U2" s="48"/>
      <c r="V2" s="48"/>
      <c r="W2" s="34"/>
      <c r="X2" s="86"/>
      <c r="Z2" s="612"/>
    </row>
    <row r="3" spans="1:47" s="12" customFormat="1" ht="55.9" customHeight="1" x14ac:dyDescent="0.3">
      <c r="A3" s="844" t="s">
        <v>39</v>
      </c>
      <c r="B3" s="845"/>
      <c r="C3" s="845"/>
      <c r="D3" s="845"/>
      <c r="E3" s="845"/>
      <c r="F3" s="845"/>
      <c r="G3" s="845"/>
      <c r="H3" s="845"/>
      <c r="I3" s="104"/>
      <c r="J3" s="104"/>
      <c r="K3" s="16"/>
      <c r="L3" s="16"/>
      <c r="M3" s="16"/>
      <c r="N3" s="16"/>
      <c r="O3" s="43"/>
      <c r="P3" s="43"/>
      <c r="Q3" s="16"/>
      <c r="R3" s="16"/>
      <c r="S3" s="16"/>
      <c r="T3" s="16"/>
      <c r="U3" s="589" t="s">
        <v>786</v>
      </c>
      <c r="V3" s="85"/>
      <c r="W3" s="589" t="s">
        <v>786</v>
      </c>
      <c r="X3" s="87"/>
      <c r="Z3" s="612"/>
    </row>
    <row r="4" spans="1:47" s="20" customFormat="1" ht="51" customHeight="1" x14ac:dyDescent="0.2">
      <c r="A4" s="77" t="s">
        <v>2</v>
      </c>
      <c r="B4" s="72" t="s">
        <v>3</v>
      </c>
      <c r="C4" s="72" t="s">
        <v>28</v>
      </c>
      <c r="D4" s="72" t="s">
        <v>1</v>
      </c>
      <c r="E4" s="72" t="s">
        <v>0</v>
      </c>
      <c r="F4" s="72" t="s">
        <v>24</v>
      </c>
      <c r="G4" s="72" t="s">
        <v>4</v>
      </c>
      <c r="H4" s="72" t="s">
        <v>5</v>
      </c>
      <c r="I4" s="19" t="s">
        <v>6</v>
      </c>
      <c r="J4" s="72" t="s">
        <v>7</v>
      </c>
      <c r="K4" s="19" t="s">
        <v>29</v>
      </c>
      <c r="L4" s="19" t="s">
        <v>23</v>
      </c>
      <c r="M4" s="49" t="s">
        <v>20</v>
      </c>
      <c r="N4" s="26" t="s">
        <v>21</v>
      </c>
      <c r="O4" s="44" t="s">
        <v>19</v>
      </c>
      <c r="P4" s="60" t="s">
        <v>32</v>
      </c>
      <c r="Q4" s="26" t="s">
        <v>8</v>
      </c>
      <c r="R4" s="19" t="s">
        <v>22</v>
      </c>
      <c r="S4" s="51" t="s">
        <v>44</v>
      </c>
      <c r="T4" s="121" t="s">
        <v>75</v>
      </c>
      <c r="U4" s="19" t="s">
        <v>31</v>
      </c>
      <c r="V4" s="19" t="s">
        <v>43</v>
      </c>
      <c r="W4" s="19" t="s">
        <v>26</v>
      </c>
      <c r="X4" s="21" t="s">
        <v>9</v>
      </c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</row>
    <row r="5" spans="1:47" ht="42.6" customHeight="1" x14ac:dyDescent="0.2">
      <c r="A5" s="70"/>
      <c r="B5" s="10"/>
      <c r="C5" s="10"/>
      <c r="D5" s="10"/>
      <c r="E5" s="10"/>
      <c r="F5" s="10"/>
      <c r="G5" s="11"/>
      <c r="H5" s="10"/>
      <c r="I5" s="17"/>
      <c r="J5" s="17"/>
      <c r="K5" s="10" t="s">
        <v>30</v>
      </c>
      <c r="L5" s="17"/>
      <c r="M5" s="17"/>
      <c r="N5" s="18">
        <v>0.1</v>
      </c>
      <c r="O5" s="46">
        <v>0.1</v>
      </c>
      <c r="P5" s="46">
        <v>0.08</v>
      </c>
      <c r="Q5" s="17" t="s">
        <v>88</v>
      </c>
      <c r="R5" s="17" t="s">
        <v>11</v>
      </c>
      <c r="S5" s="17" t="s">
        <v>45</v>
      </c>
      <c r="T5" s="122"/>
      <c r="U5" s="17" t="s">
        <v>25</v>
      </c>
      <c r="V5" s="17" t="s">
        <v>42</v>
      </c>
      <c r="W5" s="17" t="s">
        <v>11</v>
      </c>
      <c r="X5" s="22" t="s">
        <v>10</v>
      </c>
      <c r="Z5" s="396" t="s">
        <v>724</v>
      </c>
    </row>
    <row r="6" spans="1:47" s="100" customFormat="1" ht="67.150000000000006" customHeight="1" x14ac:dyDescent="0.2">
      <c r="A6" s="69" t="s">
        <v>47</v>
      </c>
      <c r="B6" s="2" t="s">
        <v>785</v>
      </c>
      <c r="C6" s="2" t="s">
        <v>89</v>
      </c>
      <c r="D6" s="2" t="s">
        <v>41</v>
      </c>
      <c r="E6" s="5" t="s">
        <v>46</v>
      </c>
      <c r="F6" s="2"/>
      <c r="G6" s="99"/>
      <c r="H6" s="5"/>
      <c r="I6" s="13"/>
      <c r="J6" s="13">
        <f>'ECM-1a Proj E3'!B4</f>
        <v>30</v>
      </c>
      <c r="K6" s="668">
        <f>'ECM-1a Proj E3'!C4</f>
        <v>43</v>
      </c>
      <c r="L6" s="678">
        <v>0</v>
      </c>
      <c r="M6" s="678">
        <f>J6*(K6+L6)</f>
        <v>1290</v>
      </c>
      <c r="N6" s="680">
        <v>0</v>
      </c>
      <c r="O6" s="678">
        <v>0</v>
      </c>
      <c r="P6" s="106">
        <f>M6*P5</f>
        <v>103.2</v>
      </c>
      <c r="Q6" s="678">
        <v>0</v>
      </c>
      <c r="R6" s="680">
        <f t="shared" ref="R6:R16" si="0">SUM(M6:Q6)</f>
        <v>1393.2</v>
      </c>
      <c r="S6" s="680"/>
      <c r="T6" s="681">
        <v>0</v>
      </c>
      <c r="U6" s="821">
        <f>('ECM-1a Proj E3'!J4+(Z36*Z6))</f>
        <v>11913.550000000001</v>
      </c>
      <c r="V6" s="108">
        <v>0</v>
      </c>
      <c r="W6" s="704">
        <f>U6*'Uti Rates &amp; Lighting Caps'!B3</f>
        <v>2740.1165000000005</v>
      </c>
      <c r="X6" s="632">
        <v>7.85</v>
      </c>
      <c r="Y6" s="590"/>
      <c r="Z6" s="708">
        <v>1</v>
      </c>
    </row>
    <row r="7" spans="1:47" s="100" customFormat="1" ht="10.5" customHeight="1" x14ac:dyDescent="0.2">
      <c r="A7" s="510"/>
      <c r="B7" s="511"/>
      <c r="C7" s="511"/>
      <c r="D7" s="511"/>
      <c r="E7" s="511"/>
      <c r="F7" s="511"/>
      <c r="G7" s="558"/>
      <c r="H7" s="511"/>
      <c r="I7" s="513"/>
      <c r="J7" s="513"/>
      <c r="K7" s="544"/>
      <c r="L7" s="559"/>
      <c r="M7" s="559"/>
      <c r="N7" s="728"/>
      <c r="O7" s="559"/>
      <c r="P7" s="559"/>
      <c r="Q7" s="559"/>
      <c r="R7" s="560"/>
      <c r="S7" s="560"/>
      <c r="T7" s="561"/>
      <c r="U7" s="714"/>
      <c r="V7" s="560"/>
      <c r="W7" s="559"/>
      <c r="X7" s="524"/>
      <c r="Y7" s="318"/>
      <c r="Z7" s="709"/>
    </row>
    <row r="8" spans="1:47" ht="92.45" customHeight="1" x14ac:dyDescent="0.2">
      <c r="A8" s="105">
        <v>2</v>
      </c>
      <c r="B8" s="5" t="s">
        <v>746</v>
      </c>
      <c r="C8" s="2" t="s">
        <v>89</v>
      </c>
      <c r="D8" s="5" t="s">
        <v>787</v>
      </c>
      <c r="E8" s="5" t="s">
        <v>61</v>
      </c>
      <c r="F8" s="5" t="s">
        <v>788</v>
      </c>
      <c r="G8" s="101"/>
      <c r="H8" s="5"/>
      <c r="I8" s="13"/>
      <c r="J8" s="13">
        <f>'ECM-2 Proj M5'!B5</f>
        <v>31</v>
      </c>
      <c r="K8" s="668">
        <f>'ECM-2 Proj M5'!J13</f>
        <v>314.23602419354836</v>
      </c>
      <c r="L8" s="716" t="s">
        <v>748</v>
      </c>
      <c r="M8" s="669">
        <f>J8*K8</f>
        <v>9741.31675</v>
      </c>
      <c r="N8" s="626">
        <v>0</v>
      </c>
      <c r="O8" s="107">
        <f>M8*10%</f>
        <v>974.13167500000009</v>
      </c>
      <c r="P8" s="107">
        <f>M8*P5</f>
        <v>779.30534</v>
      </c>
      <c r="Q8" s="107"/>
      <c r="R8" s="107">
        <f t="shared" si="0"/>
        <v>11494.753765000001</v>
      </c>
      <c r="S8" s="107"/>
      <c r="T8" s="690">
        <v>0</v>
      </c>
      <c r="U8" s="566">
        <f>'ECM-2 Proj M5'!V12</f>
        <v>8832</v>
      </c>
      <c r="V8" s="108">
        <f>'ECM-2 Proj M5'!W12</f>
        <v>311</v>
      </c>
      <c r="W8" s="113">
        <f>'ECM-2 Proj M5'!X12</f>
        <v>2286.38</v>
      </c>
      <c r="X8" s="328">
        <v>3.05</v>
      </c>
    </row>
    <row r="9" spans="1:47" s="433" customFormat="1" ht="10.5" customHeight="1" x14ac:dyDescent="0.2">
      <c r="A9" s="510"/>
      <c r="B9" s="511"/>
      <c r="C9" s="511"/>
      <c r="D9" s="511"/>
      <c r="E9" s="511"/>
      <c r="F9" s="511"/>
      <c r="G9" s="539"/>
      <c r="H9" s="511"/>
      <c r="I9" s="513"/>
      <c r="J9" s="513"/>
      <c r="K9" s="544"/>
      <c r="L9" s="717"/>
      <c r="M9" s="523"/>
      <c r="N9" s="562"/>
      <c r="O9" s="522"/>
      <c r="P9" s="522"/>
      <c r="Q9" s="522"/>
      <c r="R9" s="522"/>
      <c r="S9" s="522"/>
      <c r="T9" s="520"/>
      <c r="U9" s="714"/>
      <c r="V9" s="715"/>
      <c r="W9" s="519"/>
      <c r="X9" s="563"/>
      <c r="Z9" s="666"/>
    </row>
    <row r="10" spans="1:47" s="120" customFormat="1" ht="58.15" customHeight="1" x14ac:dyDescent="0.2">
      <c r="A10" s="114" t="s">
        <v>62</v>
      </c>
      <c r="B10" s="115" t="s">
        <v>65</v>
      </c>
      <c r="C10" s="2" t="s">
        <v>89</v>
      </c>
      <c r="D10" s="115" t="s">
        <v>194</v>
      </c>
      <c r="E10" s="749" t="s">
        <v>741</v>
      </c>
      <c r="F10" s="198" t="s">
        <v>181</v>
      </c>
      <c r="G10" s="116"/>
      <c r="H10" s="115"/>
      <c r="I10" s="117"/>
      <c r="J10" s="117">
        <f>'ECM-3 Proj L-6a'!V4</f>
        <v>2</v>
      </c>
      <c r="K10" s="711">
        <f>'ECM-3 Proj L-6a'!AA4</f>
        <v>1000</v>
      </c>
      <c r="L10" s="716" t="s">
        <v>189</v>
      </c>
      <c r="M10" s="729">
        <f>J10*K10</f>
        <v>2000</v>
      </c>
      <c r="N10" s="118">
        <f>M10*10%</f>
        <v>200</v>
      </c>
      <c r="O10" s="118">
        <f>M10*10%</f>
        <v>200</v>
      </c>
      <c r="P10" s="118">
        <f>M10*P5</f>
        <v>160</v>
      </c>
      <c r="Q10" s="113">
        <v>0</v>
      </c>
      <c r="R10" s="118">
        <f t="shared" si="0"/>
        <v>2560</v>
      </c>
      <c r="S10" s="118"/>
      <c r="T10" s="673">
        <v>0</v>
      </c>
      <c r="U10" s="822">
        <v>820</v>
      </c>
      <c r="V10" s="718"/>
      <c r="W10" s="674">
        <v>141</v>
      </c>
      <c r="X10" s="350">
        <v>1.02</v>
      </c>
      <c r="Y10" s="590"/>
      <c r="Z10" s="666"/>
    </row>
    <row r="11" spans="1:47" s="120" customFormat="1" ht="58.15" customHeight="1" x14ac:dyDescent="0.2">
      <c r="A11" s="114" t="s">
        <v>63</v>
      </c>
      <c r="B11" s="115" t="s">
        <v>67</v>
      </c>
      <c r="C11" s="5" t="s">
        <v>89</v>
      </c>
      <c r="D11" s="115" t="s">
        <v>68</v>
      </c>
      <c r="E11" s="749" t="s">
        <v>741</v>
      </c>
      <c r="F11" s="115" t="s">
        <v>738</v>
      </c>
      <c r="G11" s="116"/>
      <c r="H11" s="115"/>
      <c r="I11" s="117"/>
      <c r="J11" s="117">
        <v>2</v>
      </c>
      <c r="K11" s="711">
        <f>'ECM-3 Proj L-6a'!H17</f>
        <v>111</v>
      </c>
      <c r="L11" s="716" t="s">
        <v>271</v>
      </c>
      <c r="M11" s="710">
        <f>J11*K11</f>
        <v>222</v>
      </c>
      <c r="N11" s="118">
        <v>0</v>
      </c>
      <c r="O11" s="118">
        <v>0</v>
      </c>
      <c r="P11" s="118">
        <v>0</v>
      </c>
      <c r="Q11" s="113">
        <v>0</v>
      </c>
      <c r="R11" s="118">
        <f t="shared" si="0"/>
        <v>222</v>
      </c>
      <c r="S11" s="118"/>
      <c r="T11" s="673">
        <v>0</v>
      </c>
      <c r="U11" s="823">
        <f>'ECM-3 Proj L-6a'!K17</f>
        <v>790.21739130434776</v>
      </c>
      <c r="V11" s="718"/>
      <c r="W11" s="675">
        <f>'ECM-3 Proj L-6a'!I17</f>
        <v>181.75</v>
      </c>
      <c r="X11" s="350">
        <v>6.51</v>
      </c>
      <c r="Y11" s="332"/>
    </row>
    <row r="12" spans="1:47" s="120" customFormat="1" ht="10.5" customHeight="1" x14ac:dyDescent="0.2">
      <c r="A12" s="525"/>
      <c r="B12" s="526"/>
      <c r="C12" s="511"/>
      <c r="D12" s="526"/>
      <c r="E12" s="527"/>
      <c r="F12" s="526"/>
      <c r="G12" s="528"/>
      <c r="H12" s="526"/>
      <c r="I12" s="470"/>
      <c r="J12" s="470"/>
      <c r="K12" s="719"/>
      <c r="L12" s="717"/>
      <c r="M12" s="720"/>
      <c r="N12" s="533"/>
      <c r="O12" s="533"/>
      <c r="P12" s="533"/>
      <c r="Q12" s="519"/>
      <c r="R12" s="533"/>
      <c r="S12" s="533"/>
      <c r="T12" s="550"/>
      <c r="U12" s="714"/>
      <c r="V12" s="721"/>
      <c r="W12" s="537"/>
      <c r="X12" s="536"/>
      <c r="Y12" s="332"/>
    </row>
    <row r="13" spans="1:47" s="120" customFormat="1" ht="58.15" customHeight="1" x14ac:dyDescent="0.2">
      <c r="A13" s="105" t="s">
        <v>72</v>
      </c>
      <c r="B13" s="228" t="s">
        <v>73</v>
      </c>
      <c r="C13" s="5" t="s">
        <v>89</v>
      </c>
      <c r="D13" s="5" t="s">
        <v>197</v>
      </c>
      <c r="E13" s="228" t="s">
        <v>789</v>
      </c>
      <c r="F13" s="228" t="s">
        <v>731</v>
      </c>
      <c r="G13" s="227"/>
      <c r="H13" s="228"/>
      <c r="I13" s="231"/>
      <c r="J13" s="827">
        <f>'ECM-4 Proj L1'!H11</f>
        <v>1354</v>
      </c>
      <c r="K13" s="672">
        <f>'ECM-4 Proj L1'!H15</f>
        <v>17.75</v>
      </c>
      <c r="L13" s="722" t="s">
        <v>222</v>
      </c>
      <c r="M13" s="631">
        <f>J13*K13</f>
        <v>24033.5</v>
      </c>
      <c r="N13" s="107">
        <v>0</v>
      </c>
      <c r="O13" s="107">
        <v>0</v>
      </c>
      <c r="P13" s="106">
        <f>M13*P5</f>
        <v>1922.68</v>
      </c>
      <c r="Q13" s="107"/>
      <c r="R13" s="854">
        <f>M13+N13+O13+P13+Q13+M14+N14+O14+P14+Q14</f>
        <v>30891.510000000002</v>
      </c>
      <c r="S13" s="854">
        <v>0</v>
      </c>
      <c r="T13" s="852">
        <v>0</v>
      </c>
      <c r="U13" s="850">
        <v>34921</v>
      </c>
      <c r="V13" s="848">
        <v>-206</v>
      </c>
      <c r="W13" s="846">
        <v>7336</v>
      </c>
      <c r="X13" s="836">
        <v>3.59</v>
      </c>
      <c r="Y13" s="590"/>
    </row>
    <row r="14" spans="1:47" s="120" customFormat="1" ht="58.15" customHeight="1" x14ac:dyDescent="0.2">
      <c r="A14" s="105" t="s">
        <v>196</v>
      </c>
      <c r="B14" s="228" t="s">
        <v>73</v>
      </c>
      <c r="C14" s="5" t="s">
        <v>89</v>
      </c>
      <c r="D14" s="228" t="s">
        <v>198</v>
      </c>
      <c r="E14" s="228" t="s">
        <v>789</v>
      </c>
      <c r="F14" s="228" t="s">
        <v>790</v>
      </c>
      <c r="G14" s="227"/>
      <c r="H14" s="228"/>
      <c r="I14" s="231"/>
      <c r="J14" s="687">
        <f>'ECM-4 Proj L1'!H25</f>
        <v>169.25</v>
      </c>
      <c r="K14" s="672">
        <f>'ECM-4 Proj L1'!H29</f>
        <v>27</v>
      </c>
      <c r="L14" s="722" t="s">
        <v>222</v>
      </c>
      <c r="M14" s="631">
        <f>J14*K14</f>
        <v>4569.75</v>
      </c>
      <c r="N14" s="107">
        <v>0</v>
      </c>
      <c r="O14" s="107">
        <v>0</v>
      </c>
      <c r="P14" s="106">
        <f>M14*P5</f>
        <v>365.58</v>
      </c>
      <c r="Q14" s="107"/>
      <c r="R14" s="855"/>
      <c r="S14" s="855"/>
      <c r="T14" s="853"/>
      <c r="U14" s="851"/>
      <c r="V14" s="849"/>
      <c r="W14" s="847"/>
      <c r="X14" s="837"/>
      <c r="Y14" s="546" t="s">
        <v>105</v>
      </c>
    </row>
    <row r="15" spans="1:47" s="433" customFormat="1" ht="10.5" customHeight="1" x14ac:dyDescent="0.2">
      <c r="A15" s="510"/>
      <c r="B15" s="511"/>
      <c r="C15" s="511"/>
      <c r="D15" s="511"/>
      <c r="E15" s="511"/>
      <c r="F15" s="511"/>
      <c r="G15" s="539"/>
      <c r="H15" s="511"/>
      <c r="I15" s="513"/>
      <c r="J15" s="513"/>
      <c r="K15" s="544"/>
      <c r="L15" s="523"/>
      <c r="M15" s="523"/>
      <c r="N15" s="522"/>
      <c r="O15" s="522"/>
      <c r="P15" s="522"/>
      <c r="Q15" s="522"/>
      <c r="R15" s="522"/>
      <c r="S15" s="522"/>
      <c r="T15" s="520"/>
      <c r="U15" s="714"/>
      <c r="V15" s="715"/>
      <c r="W15" s="519"/>
      <c r="X15" s="563"/>
      <c r="Z15" s="120"/>
    </row>
    <row r="16" spans="1:47" ht="51" x14ac:dyDescent="0.2">
      <c r="A16" s="619" t="s">
        <v>80</v>
      </c>
      <c r="B16" s="5" t="s">
        <v>79</v>
      </c>
      <c r="C16" s="5" t="s">
        <v>89</v>
      </c>
      <c r="D16" s="5" t="s">
        <v>83</v>
      </c>
      <c r="E16" s="5" t="s">
        <v>707</v>
      </c>
      <c r="F16" s="5" t="s">
        <v>711</v>
      </c>
      <c r="G16" s="5"/>
      <c r="H16" s="101"/>
      <c r="I16" s="5"/>
      <c r="J16" s="667">
        <f>'ECM-5 Proj M1a '!E36</f>
        <v>5</v>
      </c>
      <c r="K16" s="668">
        <f>'ECM-5 Proj M1a '!H35</f>
        <v>5992.0000000000009</v>
      </c>
      <c r="L16" s="668">
        <v>3500</v>
      </c>
      <c r="M16" s="669">
        <f>J16*(K16+L16)</f>
        <v>47460</v>
      </c>
      <c r="N16" s="669">
        <f>M16*$N5</f>
        <v>4746</v>
      </c>
      <c r="O16" s="669">
        <f>M16*$O5</f>
        <v>4746</v>
      </c>
      <c r="P16" s="669">
        <f>M16*$P5</f>
        <v>3796.8</v>
      </c>
      <c r="Q16" s="113">
        <f>M16*1.5%</f>
        <v>711.9</v>
      </c>
      <c r="R16" s="113">
        <f t="shared" si="0"/>
        <v>61460.700000000004</v>
      </c>
      <c r="S16" s="113"/>
      <c r="T16" s="627">
        <v>0</v>
      </c>
      <c r="U16" s="566">
        <f>'ECM-5 Proj M1a '!F36</f>
        <v>21315</v>
      </c>
      <c r="V16" s="824">
        <f>'ECM-5 Proj M1a '!G36</f>
        <v>0</v>
      </c>
      <c r="W16" s="669">
        <f>'ECM-5 Proj M1a '!J36</f>
        <v>4902.45</v>
      </c>
      <c r="X16" s="632">
        <v>1.37</v>
      </c>
      <c r="Y16" s="319"/>
      <c r="Z16" s="120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</row>
    <row r="17" spans="1:46" ht="50.45" customHeight="1" x14ac:dyDescent="0.2">
      <c r="A17" s="619" t="s">
        <v>82</v>
      </c>
      <c r="B17" s="5" t="s">
        <v>79</v>
      </c>
      <c r="C17" s="5" t="s">
        <v>89</v>
      </c>
      <c r="D17" s="5" t="s">
        <v>84</v>
      </c>
      <c r="E17" s="5" t="s">
        <v>708</v>
      </c>
      <c r="F17" s="5" t="s">
        <v>712</v>
      </c>
      <c r="G17" s="5"/>
      <c r="H17" s="110"/>
      <c r="I17" s="5"/>
      <c r="J17" s="667">
        <f>'ECM-5 Proj M1a '!E67</f>
        <v>7</v>
      </c>
      <c r="K17" s="668">
        <f>'ECM-5 Proj M1a '!H66</f>
        <v>8391.0400000000009</v>
      </c>
      <c r="L17" s="668">
        <v>3500</v>
      </c>
      <c r="M17" s="669">
        <f>J17*(K17+L17)</f>
        <v>83237.279999999999</v>
      </c>
      <c r="N17" s="669">
        <f>M17*N5</f>
        <v>8323.728000000001</v>
      </c>
      <c r="O17" s="669">
        <f>M17*O5</f>
        <v>8323.728000000001</v>
      </c>
      <c r="P17" s="669">
        <f>M17*P5</f>
        <v>6658.9823999999999</v>
      </c>
      <c r="Q17" s="113">
        <f>M17*1.5%</f>
        <v>1248.5591999999999</v>
      </c>
      <c r="R17" s="113">
        <f>SUM(M17:Q17)</f>
        <v>107792.2776</v>
      </c>
      <c r="S17" s="113"/>
      <c r="T17" s="627">
        <v>0</v>
      </c>
      <c r="U17" s="566">
        <f>'ECM-5 Proj M1a '!F67</f>
        <v>19761</v>
      </c>
      <c r="V17" s="824">
        <f>'ECM-5 Proj M1a '!G67</f>
        <v>35</v>
      </c>
      <c r="W17" s="669">
        <f>'ECM-5 Proj M1a '!J67</f>
        <v>4573.7299999999996</v>
      </c>
      <c r="X17" s="632">
        <v>0.84</v>
      </c>
      <c r="Y17" s="319"/>
      <c r="Z17" s="120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</row>
    <row r="18" spans="1:46" ht="26.45" customHeight="1" thickBot="1" x14ac:dyDescent="0.3">
      <c r="A18" s="71"/>
      <c r="B18" s="23"/>
      <c r="C18" s="23"/>
      <c r="D18" s="23"/>
      <c r="E18" s="23"/>
      <c r="F18" s="23"/>
      <c r="G18" s="24"/>
      <c r="H18" s="23"/>
      <c r="I18" s="28"/>
      <c r="J18" s="28"/>
      <c r="K18" s="727"/>
      <c r="L18" s="730" t="s">
        <v>12</v>
      </c>
      <c r="M18" s="727">
        <f t="shared" ref="M18:W18" si="1">SUM(M6:M17)</f>
        <v>172553.84675</v>
      </c>
      <c r="N18" s="727">
        <f t="shared" si="1"/>
        <v>13269.728000000001</v>
      </c>
      <c r="O18" s="727">
        <f t="shared" si="1"/>
        <v>14243.859675000002</v>
      </c>
      <c r="P18" s="727">
        <f t="shared" si="1"/>
        <v>13786.54774</v>
      </c>
      <c r="Q18" s="727">
        <f t="shared" si="1"/>
        <v>1960.4591999999998</v>
      </c>
      <c r="R18" s="25">
        <f t="shared" si="1"/>
        <v>215814.44136500001</v>
      </c>
      <c r="S18" s="25">
        <f t="shared" si="1"/>
        <v>0</v>
      </c>
      <c r="T18" s="25">
        <f t="shared" si="1"/>
        <v>0</v>
      </c>
      <c r="U18" s="825">
        <f t="shared" si="1"/>
        <v>98352.767391304355</v>
      </c>
      <c r="V18" s="826">
        <f t="shared" si="1"/>
        <v>140</v>
      </c>
      <c r="W18" s="25">
        <f t="shared" si="1"/>
        <v>22161.426500000001</v>
      </c>
      <c r="X18" s="88">
        <v>1.56</v>
      </c>
      <c r="Z18" s="705"/>
    </row>
    <row r="19" spans="1:46" s="8" customFormat="1" x14ac:dyDescent="0.2">
      <c r="A19" s="97"/>
      <c r="B19" s="15"/>
      <c r="C19" s="7"/>
      <c r="D19" s="4"/>
      <c r="E19" s="4"/>
      <c r="F19" s="4"/>
      <c r="G19" s="6"/>
      <c r="I19" s="97"/>
      <c r="J19" s="97"/>
      <c r="O19" s="29"/>
      <c r="P19" s="29"/>
      <c r="U19" s="133"/>
      <c r="V19" s="97"/>
      <c r="X19" s="133"/>
      <c r="Z19" s="705"/>
    </row>
    <row r="20" spans="1:46" s="8" customFormat="1" ht="13.5" customHeight="1" thickBot="1" x14ac:dyDescent="0.25">
      <c r="A20" s="143"/>
      <c r="C20" s="7"/>
      <c r="D20" s="4"/>
      <c r="E20" s="4"/>
      <c r="F20" s="4"/>
      <c r="G20" s="6"/>
      <c r="I20" s="143"/>
      <c r="J20" s="143"/>
      <c r="O20" s="29"/>
      <c r="P20" s="29"/>
      <c r="R20" s="838" t="s">
        <v>720</v>
      </c>
      <c r="S20" s="839"/>
      <c r="T20" s="839"/>
      <c r="U20" s="839"/>
      <c r="V20" s="840"/>
      <c r="W20" s="666"/>
      <c r="X20" s="615"/>
      <c r="Y20" s="666"/>
      <c r="Z20" s="611"/>
    </row>
    <row r="21" spans="1:46" s="8" customFormat="1" x14ac:dyDescent="0.2">
      <c r="A21" s="97"/>
      <c r="C21" s="7"/>
      <c r="D21" s="7"/>
      <c r="E21" s="322" t="s">
        <v>266</v>
      </c>
      <c r="F21" s="327">
        <f>R18</f>
        <v>215814.44136500001</v>
      </c>
      <c r="G21" s="6"/>
      <c r="I21" s="97"/>
      <c r="J21" s="97"/>
      <c r="O21" s="29"/>
      <c r="P21" s="29"/>
      <c r="R21" s="655"/>
      <c r="S21" s="568"/>
      <c r="T21" s="588" t="s">
        <v>715</v>
      </c>
      <c r="U21" s="567">
        <v>238271</v>
      </c>
      <c r="V21" s="656"/>
      <c r="W21" s="666"/>
      <c r="X21" s="615"/>
      <c r="Y21" s="666"/>
      <c r="Z21" s="611"/>
    </row>
    <row r="22" spans="1:46" x14ac:dyDescent="0.2">
      <c r="A22" s="97"/>
      <c r="C22" s="7"/>
      <c r="D22" s="7"/>
      <c r="E22" s="323" t="s">
        <v>267</v>
      </c>
      <c r="F22" s="324">
        <f>S18</f>
        <v>0</v>
      </c>
      <c r="G22" s="9"/>
      <c r="H22" s="4"/>
      <c r="I22" s="14"/>
      <c r="J22" s="14"/>
      <c r="K22" s="4"/>
      <c r="R22" s="657"/>
      <c r="S22" s="611"/>
      <c r="T22" s="553" t="s">
        <v>722</v>
      </c>
      <c r="U22" s="555">
        <f>U21*15%</f>
        <v>35740.65</v>
      </c>
      <c r="V22" s="658"/>
      <c r="W22" s="666"/>
      <c r="X22" s="615"/>
      <c r="Y22" s="666"/>
    </row>
    <row r="23" spans="1:46" ht="13.5" thickBot="1" x14ac:dyDescent="0.25">
      <c r="D23" s="4"/>
      <c r="E23" s="325" t="s">
        <v>268</v>
      </c>
      <c r="F23" s="326">
        <f>F21-F22</f>
        <v>215814.44136500001</v>
      </c>
      <c r="R23" s="657"/>
      <c r="S23" s="611"/>
      <c r="T23" s="553" t="s">
        <v>723</v>
      </c>
      <c r="U23" s="554">
        <f>U10+U13</f>
        <v>35741</v>
      </c>
      <c r="V23" s="658"/>
      <c r="W23" s="371"/>
      <c r="X23" s="615"/>
      <c r="Y23" s="666"/>
    </row>
    <row r="24" spans="1:46" x14ac:dyDescent="0.2">
      <c r="E24" s="157"/>
      <c r="F24" s="321"/>
      <c r="R24" s="660"/>
      <c r="S24" s="661"/>
      <c r="T24" s="556" t="s">
        <v>101</v>
      </c>
      <c r="U24" s="557">
        <f>U22-U23</f>
        <v>-0.34999999999854481</v>
      </c>
      <c r="V24" s="662"/>
      <c r="W24" s="666"/>
      <c r="X24" s="615"/>
      <c r="Y24" s="666"/>
    </row>
    <row r="25" spans="1:46" x14ac:dyDescent="0.2">
      <c r="R25" s="666"/>
      <c r="S25" s="666"/>
      <c r="T25" s="629"/>
      <c r="U25" s="666"/>
      <c r="V25" s="615"/>
      <c r="W25" s="666"/>
      <c r="X25" s="615"/>
      <c r="Y25" s="666"/>
    </row>
    <row r="26" spans="1:46" x14ac:dyDescent="0.2">
      <c r="R26" s="838" t="s">
        <v>728</v>
      </c>
      <c r="S26" s="839"/>
      <c r="T26" s="839"/>
      <c r="U26" s="839"/>
      <c r="V26" s="840"/>
      <c r="W26" s="666"/>
      <c r="X26" s="615"/>
      <c r="Y26" s="666"/>
    </row>
    <row r="27" spans="1:46" x14ac:dyDescent="0.2">
      <c r="R27" s="657"/>
      <c r="S27" s="611"/>
      <c r="T27" s="553" t="s">
        <v>715</v>
      </c>
      <c r="U27" s="659">
        <v>238271</v>
      </c>
      <c r="V27" s="658"/>
      <c r="W27" s="666"/>
      <c r="X27" s="615"/>
      <c r="Y27" s="666"/>
    </row>
    <row r="28" spans="1:46" x14ac:dyDescent="0.2">
      <c r="R28" s="657"/>
      <c r="S28" s="611"/>
      <c r="T28" s="553" t="s">
        <v>729</v>
      </c>
      <c r="U28" s="555">
        <f>U27*25%</f>
        <v>59567.75</v>
      </c>
      <c r="V28" s="658"/>
      <c r="W28" s="666"/>
      <c r="X28" s="615"/>
      <c r="Y28" s="666"/>
    </row>
    <row r="29" spans="1:46" ht="13.5" thickBot="1" x14ac:dyDescent="0.25">
      <c r="R29" s="657"/>
      <c r="S29" s="611"/>
      <c r="T29" s="553" t="s">
        <v>717</v>
      </c>
      <c r="U29" s="554">
        <f>U16+U17</f>
        <v>41076</v>
      </c>
      <c r="V29" s="658"/>
      <c r="W29" s="666"/>
      <c r="X29" s="615"/>
      <c r="Y29" s="666"/>
    </row>
    <row r="30" spans="1:46" ht="13.5" thickTop="1" x14ac:dyDescent="0.2">
      <c r="R30" s="660"/>
      <c r="S30" s="661"/>
      <c r="T30" s="556" t="s">
        <v>101</v>
      </c>
      <c r="U30" s="557">
        <f>U28-U29</f>
        <v>18491.75</v>
      </c>
      <c r="V30" s="662"/>
      <c r="W30" s="666"/>
      <c r="X30" s="615"/>
      <c r="Y30" s="666"/>
    </row>
    <row r="31" spans="1:46" x14ac:dyDescent="0.2">
      <c r="R31" s="666"/>
      <c r="S31" s="666"/>
      <c r="T31" s="666"/>
      <c r="U31" s="615"/>
      <c r="V31" s="615"/>
      <c r="W31" s="666"/>
      <c r="X31" s="615"/>
      <c r="Y31" s="666"/>
    </row>
    <row r="32" spans="1:46" x14ac:dyDescent="0.2">
      <c r="R32" s="838" t="s">
        <v>716</v>
      </c>
      <c r="S32" s="839"/>
      <c r="T32" s="839"/>
      <c r="U32" s="839"/>
      <c r="V32" s="840"/>
      <c r="W32" s="666"/>
      <c r="X32" s="615"/>
      <c r="Y32" s="666"/>
    </row>
    <row r="33" spans="18:26" x14ac:dyDescent="0.2">
      <c r="R33" s="657"/>
      <c r="S33" s="611"/>
      <c r="T33" s="553" t="s">
        <v>715</v>
      </c>
      <c r="U33" s="659">
        <v>238271</v>
      </c>
      <c r="V33" s="658"/>
    </row>
    <row r="34" spans="18:26" x14ac:dyDescent="0.2">
      <c r="R34" s="657"/>
      <c r="S34" s="611"/>
      <c r="T34" s="553" t="s">
        <v>718</v>
      </c>
      <c r="U34" s="555">
        <f>U33*5%</f>
        <v>11913.550000000001</v>
      </c>
      <c r="V34" s="658"/>
    </row>
    <row r="35" spans="18:26" ht="13.5" thickBot="1" x14ac:dyDescent="0.25">
      <c r="R35" s="657"/>
      <c r="S35" s="611"/>
      <c r="T35" s="553" t="s">
        <v>719</v>
      </c>
      <c r="U35" s="554">
        <f>U6</f>
        <v>11913.550000000001</v>
      </c>
      <c r="V35" s="658"/>
      <c r="Z35" s="158" t="s">
        <v>725</v>
      </c>
    </row>
    <row r="36" spans="18:26" ht="13.5" thickTop="1" x14ac:dyDescent="0.2">
      <c r="R36" s="660"/>
      <c r="S36" s="661"/>
      <c r="T36" s="556" t="s">
        <v>101</v>
      </c>
      <c r="U36" s="557">
        <f>U34-U35</f>
        <v>0</v>
      </c>
      <c r="V36" s="662"/>
      <c r="Z36" s="707">
        <v>-1654.4499999999989</v>
      </c>
    </row>
  </sheetData>
  <mergeCells count="14">
    <mergeCell ref="X13:X14"/>
    <mergeCell ref="R20:V20"/>
    <mergeCell ref="R26:V26"/>
    <mergeCell ref="R32:V32"/>
    <mergeCell ref="A1:J1"/>
    <mergeCell ref="A2:D2"/>
    <mergeCell ref="A3:D3"/>
    <mergeCell ref="E3:H3"/>
    <mergeCell ref="W13:W14"/>
    <mergeCell ref="V13:V14"/>
    <mergeCell ref="U13:U14"/>
    <mergeCell ref="T13:T14"/>
    <mergeCell ref="S13:S14"/>
    <mergeCell ref="R13:R14"/>
  </mergeCells>
  <printOptions horizontalCentered="1" verticalCentered="1"/>
  <pageMargins left="0.75" right="0.75" top="1" bottom="1" header="0.5" footer="0.5"/>
  <pageSetup paperSize="3" scale="73" orientation="landscape" r:id="rId1"/>
  <headerFooter>
    <oddFooter>&amp;L&amp;D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"/>
  <sheetViews>
    <sheetView workbookViewId="0">
      <selection activeCell="P37" sqref="P37"/>
    </sheetView>
  </sheetViews>
  <sheetFormatPr defaultRowHeight="12.75" x14ac:dyDescent="0.2"/>
  <cols>
    <col min="1" max="1" width="9.140625" style="340"/>
    <col min="2" max="2" width="11" style="340" bestFit="1" customWidth="1"/>
    <col min="3" max="4" width="9.140625" style="340"/>
    <col min="5" max="5" width="16.28515625" style="340" customWidth="1"/>
    <col min="6" max="6" width="9.140625" style="340"/>
    <col min="7" max="8" width="13.140625" style="340" customWidth="1"/>
  </cols>
  <sheetData>
    <row r="1" spans="1:9" x14ac:dyDescent="0.2">
      <c r="A1" s="908" t="s">
        <v>290</v>
      </c>
      <c r="B1" s="908"/>
      <c r="C1" s="908"/>
      <c r="D1" s="908"/>
      <c r="E1" s="908"/>
      <c r="F1" s="908"/>
      <c r="G1" s="908"/>
      <c r="H1" s="908"/>
      <c r="I1" s="908"/>
    </row>
    <row r="2" spans="1:9" ht="51" x14ac:dyDescent="0.2">
      <c r="A2" s="346" t="s">
        <v>124</v>
      </c>
      <c r="B2" s="346" t="s">
        <v>91</v>
      </c>
      <c r="C2" s="346" t="s">
        <v>93</v>
      </c>
      <c r="D2" s="346" t="s">
        <v>202</v>
      </c>
      <c r="E2" s="335" t="s">
        <v>291</v>
      </c>
      <c r="F2" s="346" t="s">
        <v>23</v>
      </c>
      <c r="G2" s="335" t="s">
        <v>292</v>
      </c>
      <c r="H2" s="335" t="s">
        <v>224</v>
      </c>
      <c r="I2" s="335" t="s">
        <v>295</v>
      </c>
    </row>
    <row r="3" spans="1:9" x14ac:dyDescent="0.2">
      <c r="A3" s="200" t="s">
        <v>125</v>
      </c>
      <c r="B3" s="200" t="s">
        <v>293</v>
      </c>
      <c r="C3" s="200">
        <v>19</v>
      </c>
      <c r="D3" s="200" t="s">
        <v>294</v>
      </c>
      <c r="E3" s="352">
        <f>250+100</f>
        <v>350</v>
      </c>
      <c r="F3" s="352">
        <v>100</v>
      </c>
      <c r="G3" s="352">
        <v>100</v>
      </c>
      <c r="H3" s="353">
        <v>0</v>
      </c>
      <c r="I3" s="354">
        <v>0</v>
      </c>
    </row>
  </sheetData>
  <mergeCells count="1">
    <mergeCell ref="A1:I1"/>
  </mergeCell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selection activeCell="H5" sqref="H5"/>
    </sheetView>
  </sheetViews>
  <sheetFormatPr defaultRowHeight="12.75" x14ac:dyDescent="0.2"/>
  <cols>
    <col min="1" max="1" width="20.85546875" customWidth="1"/>
    <col min="4" max="4" width="4.28515625" customWidth="1"/>
    <col min="5" max="5" width="11.140625" bestFit="1" customWidth="1"/>
    <col min="6" max="6" width="16.7109375" bestFit="1" customWidth="1"/>
    <col min="7" max="7" width="14.7109375" customWidth="1"/>
    <col min="8" max="8" width="14.140625" bestFit="1" customWidth="1"/>
    <col min="9" max="9" width="10.85546875" bestFit="1" customWidth="1"/>
  </cols>
  <sheetData>
    <row r="1" spans="1:9" x14ac:dyDescent="0.2">
      <c r="A1" s="909" t="s">
        <v>241</v>
      </c>
      <c r="B1" s="909"/>
      <c r="C1" s="909"/>
      <c r="E1" s="909" t="s">
        <v>326</v>
      </c>
      <c r="F1" s="909"/>
      <c r="G1" s="909"/>
      <c r="H1" s="909"/>
      <c r="I1" s="909"/>
    </row>
    <row r="2" spans="1:9" ht="13.5" thickBot="1" x14ac:dyDescent="0.25">
      <c r="A2" s="368" t="s">
        <v>142</v>
      </c>
      <c r="B2" s="369" t="s">
        <v>242</v>
      </c>
      <c r="C2" s="370" t="s">
        <v>243</v>
      </c>
      <c r="E2" s="364" t="s">
        <v>321</v>
      </c>
      <c r="F2" s="364" t="s">
        <v>322</v>
      </c>
      <c r="G2" s="364" t="s">
        <v>323</v>
      </c>
      <c r="H2" s="364" t="s">
        <v>324</v>
      </c>
      <c r="I2" s="364" t="s">
        <v>325</v>
      </c>
    </row>
    <row r="3" spans="1:9" x14ac:dyDescent="0.2">
      <c r="A3" s="208" t="s">
        <v>126</v>
      </c>
      <c r="B3" s="273">
        <v>0.23</v>
      </c>
      <c r="C3" s="273">
        <v>0.82</v>
      </c>
      <c r="E3" s="272">
        <v>238271</v>
      </c>
      <c r="F3" s="366">
        <f>E3*15%</f>
        <v>35740.65</v>
      </c>
      <c r="G3" s="272">
        <v>14867</v>
      </c>
      <c r="H3" s="272">
        <v>66829</v>
      </c>
      <c r="I3" s="367">
        <f>F3-H3</f>
        <v>-31088.35</v>
      </c>
    </row>
    <row r="4" spans="1:9" x14ac:dyDescent="0.2">
      <c r="A4" s="197" t="s">
        <v>95</v>
      </c>
      <c r="B4" s="274">
        <v>0.153</v>
      </c>
      <c r="C4" s="274">
        <v>0.52500000000000002</v>
      </c>
      <c r="E4" s="223">
        <v>440390</v>
      </c>
      <c r="F4" s="365">
        <f t="shared" ref="F4:F5" si="0">E4*15%</f>
        <v>66058.5</v>
      </c>
      <c r="G4" s="223">
        <v>23227</v>
      </c>
      <c r="H4" s="223">
        <v>104320</v>
      </c>
      <c r="I4" s="357">
        <f t="shared" ref="I4:I5" si="1">F4-H4</f>
        <v>-38261.5</v>
      </c>
    </row>
    <row r="5" spans="1:9" x14ac:dyDescent="0.2">
      <c r="A5" s="197" t="s">
        <v>94</v>
      </c>
      <c r="B5" s="274">
        <v>0.158</v>
      </c>
      <c r="C5" s="274">
        <v>0.443</v>
      </c>
      <c r="E5" s="223">
        <v>533847</v>
      </c>
      <c r="F5" s="365">
        <f t="shared" si="0"/>
        <v>80077.05</v>
      </c>
      <c r="G5" s="223">
        <v>25273</v>
      </c>
      <c r="H5" s="223">
        <v>70536</v>
      </c>
      <c r="I5" s="357">
        <f t="shared" si="1"/>
        <v>9541.0500000000029</v>
      </c>
    </row>
  </sheetData>
  <mergeCells count="2">
    <mergeCell ref="E1:I1"/>
    <mergeCell ref="A1:C1"/>
  </mergeCells>
  <pageMargins left="0.7" right="0.7" top="0.75" bottom="0.7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F10" sqref="F10"/>
    </sheetView>
  </sheetViews>
  <sheetFormatPr defaultRowHeight="12.75" x14ac:dyDescent="0.2"/>
  <cols>
    <col min="1" max="1" width="12.5703125" customWidth="1"/>
    <col min="2" max="2" width="29.140625" customWidth="1"/>
    <col min="3" max="3" width="42.28515625" customWidth="1"/>
    <col min="4" max="4" width="10.140625" customWidth="1"/>
  </cols>
  <sheetData>
    <row r="1" spans="1:4" ht="42" customHeight="1" thickBot="1" x14ac:dyDescent="0.25">
      <c r="A1" s="166" t="s">
        <v>113</v>
      </c>
      <c r="B1" s="167" t="s">
        <v>3</v>
      </c>
      <c r="C1" s="167" t="s">
        <v>1</v>
      </c>
      <c r="D1" s="168" t="s">
        <v>114</v>
      </c>
    </row>
    <row r="2" spans="1:4" ht="25.5" x14ac:dyDescent="0.2">
      <c r="A2" s="164" t="s">
        <v>47</v>
      </c>
      <c r="B2" s="159" t="s">
        <v>40</v>
      </c>
      <c r="C2" s="159" t="s">
        <v>41</v>
      </c>
      <c r="D2" s="165" t="s">
        <v>106</v>
      </c>
    </row>
    <row r="3" spans="1:4" x14ac:dyDescent="0.2">
      <c r="A3" s="164" t="s">
        <v>48</v>
      </c>
      <c r="B3" s="159" t="s">
        <v>261</v>
      </c>
      <c r="C3" s="159"/>
      <c r="D3" s="165" t="s">
        <v>264</v>
      </c>
    </row>
    <row r="4" spans="1:4" x14ac:dyDescent="0.2">
      <c r="A4" s="164" t="s">
        <v>55</v>
      </c>
      <c r="B4" s="159" t="s">
        <v>263</v>
      </c>
      <c r="C4" s="159"/>
      <c r="D4" s="165" t="s">
        <v>262</v>
      </c>
    </row>
    <row r="5" spans="1:4" ht="51" x14ac:dyDescent="0.2">
      <c r="A5" s="162">
        <v>2</v>
      </c>
      <c r="B5" s="5" t="s">
        <v>60</v>
      </c>
      <c r="C5" s="5" t="s">
        <v>59</v>
      </c>
      <c r="D5" s="161" t="s">
        <v>107</v>
      </c>
    </row>
    <row r="6" spans="1:4" ht="38.25" x14ac:dyDescent="0.2">
      <c r="A6" s="163" t="s">
        <v>62</v>
      </c>
      <c r="B6" s="115" t="s">
        <v>65</v>
      </c>
      <c r="C6" s="115" t="s">
        <v>71</v>
      </c>
      <c r="D6" s="161" t="s">
        <v>108</v>
      </c>
    </row>
    <row r="7" spans="1:4" x14ac:dyDescent="0.2">
      <c r="A7" s="163" t="s">
        <v>63</v>
      </c>
      <c r="B7" s="115" t="s">
        <v>67</v>
      </c>
      <c r="C7" s="115" t="s">
        <v>68</v>
      </c>
      <c r="D7" s="161" t="s">
        <v>109</v>
      </c>
    </row>
    <row r="8" spans="1:4" ht="25.5" x14ac:dyDescent="0.2">
      <c r="A8" s="162" t="s">
        <v>72</v>
      </c>
      <c r="B8" s="5" t="s">
        <v>73</v>
      </c>
      <c r="C8" s="5" t="s">
        <v>74</v>
      </c>
      <c r="D8" s="161" t="s">
        <v>110</v>
      </c>
    </row>
    <row r="9" spans="1:4" ht="38.25" x14ac:dyDescent="0.2">
      <c r="A9" s="162" t="s">
        <v>77</v>
      </c>
      <c r="B9" s="5" t="s">
        <v>73</v>
      </c>
      <c r="C9" s="5" t="s">
        <v>78</v>
      </c>
      <c r="D9" s="161" t="s">
        <v>111</v>
      </c>
    </row>
    <row r="10" spans="1:4" ht="25.5" x14ac:dyDescent="0.2">
      <c r="A10" s="162" t="s">
        <v>80</v>
      </c>
      <c r="B10" s="5" t="s">
        <v>79</v>
      </c>
      <c r="C10" s="5" t="s">
        <v>83</v>
      </c>
      <c r="D10" s="161" t="s">
        <v>112</v>
      </c>
    </row>
    <row r="11" spans="1:4" ht="25.5" x14ac:dyDescent="0.2">
      <c r="A11" s="162" t="s">
        <v>82</v>
      </c>
      <c r="B11" s="5" t="s">
        <v>79</v>
      </c>
      <c r="C11" s="5" t="s">
        <v>84</v>
      </c>
      <c r="D11" s="161" t="s">
        <v>112</v>
      </c>
    </row>
  </sheetData>
  <pageMargins left="0.7" right="0.7" top="0.75" bottom="0.75" header="0.3" footer="0.3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U41"/>
  <sheetViews>
    <sheetView tabSelected="1" zoomScale="55" zoomScaleNormal="55" zoomScalePageLayoutView="70" workbookViewId="0">
      <pane ySplit="5" topLeftCell="A6" activePane="bottomLeft" state="frozen"/>
      <selection activeCell="E15" sqref="E15"/>
      <selection pane="bottomLeft" activeCell="C7" sqref="C7"/>
    </sheetView>
  </sheetViews>
  <sheetFormatPr defaultColWidth="2.5703125" defaultRowHeight="12.75" outlineLevelCol="1" x14ac:dyDescent="0.2"/>
  <cols>
    <col min="1" max="1" width="8.42578125" style="27" customWidth="1"/>
    <col min="2" max="2" width="35.28515625" style="1" customWidth="1"/>
    <col min="3" max="3" width="22.28515625" style="1" customWidth="1"/>
    <col min="4" max="6" width="25.28515625" style="1" customWidth="1"/>
    <col min="7" max="7" width="13.42578125" style="3" hidden="1" customWidth="1"/>
    <col min="8" max="8" width="19.28515625" hidden="1" customWidth="1"/>
    <col min="9" max="9" width="12.42578125" style="27" hidden="1" customWidth="1"/>
    <col min="10" max="10" width="12.42578125" style="27" customWidth="1"/>
    <col min="11" max="11" width="11.7109375" customWidth="1" outlineLevel="1"/>
    <col min="12" max="12" width="13.140625" customWidth="1" outlineLevel="1"/>
    <col min="13" max="13" width="15.28515625" customWidth="1" outlineLevel="1"/>
    <col min="14" max="14" width="17.5703125" customWidth="1" outlineLevel="1"/>
    <col min="15" max="16" width="16.7109375" style="41" customWidth="1" outlineLevel="1"/>
    <col min="17" max="17" width="18.5703125" customWidth="1" outlineLevel="1"/>
    <col min="18" max="18" width="15" customWidth="1"/>
    <col min="19" max="19" width="15" customWidth="1" outlineLevel="1"/>
    <col min="20" max="20" width="13.5703125" customWidth="1" outlineLevel="1"/>
    <col min="21" max="22" width="15" style="27" customWidth="1"/>
    <col min="23" max="23" width="13.5703125" customWidth="1"/>
    <col min="24" max="24" width="11.5703125" style="27" customWidth="1"/>
    <col min="25" max="25" width="5.85546875" customWidth="1"/>
    <col min="26" max="26" width="16.85546875" customWidth="1"/>
  </cols>
  <sheetData>
    <row r="1" spans="1:47" ht="4.5" customHeight="1" thickBot="1" x14ac:dyDescent="0.25">
      <c r="A1" s="841"/>
      <c r="B1" s="841"/>
      <c r="C1" s="841"/>
      <c r="D1" s="841"/>
      <c r="E1" s="841"/>
      <c r="F1" s="841"/>
      <c r="G1" s="841"/>
      <c r="H1" s="841"/>
      <c r="I1" s="841"/>
      <c r="J1" s="841"/>
      <c r="K1" s="97"/>
    </row>
    <row r="2" spans="1:47" s="12" customFormat="1" ht="25.15" customHeight="1" x14ac:dyDescent="0.3">
      <c r="A2" s="842" t="s">
        <v>81</v>
      </c>
      <c r="B2" s="843"/>
      <c r="C2" s="843"/>
      <c r="D2" s="843"/>
      <c r="E2" s="737"/>
      <c r="F2" s="737"/>
      <c r="G2" s="47"/>
      <c r="H2" s="34"/>
      <c r="I2" s="48"/>
      <c r="J2" s="48"/>
      <c r="K2" s="34"/>
      <c r="L2" s="34"/>
      <c r="M2" s="34"/>
      <c r="N2" s="34"/>
      <c r="O2" s="42"/>
      <c r="P2" s="42"/>
      <c r="Q2" s="34"/>
      <c r="R2" s="34"/>
      <c r="S2" s="34"/>
      <c r="T2" s="34"/>
      <c r="U2" s="48"/>
      <c r="V2" s="48"/>
      <c r="W2" s="34"/>
      <c r="X2" s="86"/>
    </row>
    <row r="3" spans="1:47" s="12" customFormat="1" ht="61.9" customHeight="1" x14ac:dyDescent="0.3">
      <c r="A3" s="844" t="s">
        <v>39</v>
      </c>
      <c r="B3" s="845"/>
      <c r="C3" s="845"/>
      <c r="D3" s="845"/>
      <c r="E3" s="845"/>
      <c r="F3" s="845"/>
      <c r="G3" s="845"/>
      <c r="H3" s="845"/>
      <c r="I3" s="738"/>
      <c r="J3" s="738"/>
      <c r="K3" s="614"/>
      <c r="L3" s="614"/>
      <c r="M3" s="614"/>
      <c r="N3" s="614"/>
      <c r="O3" s="43"/>
      <c r="P3" s="43"/>
      <c r="Q3" s="614"/>
      <c r="R3" s="614"/>
      <c r="S3" s="614"/>
      <c r="T3" s="614"/>
      <c r="U3" s="589" t="s">
        <v>786</v>
      </c>
      <c r="V3" s="618"/>
      <c r="W3" s="589" t="s">
        <v>786</v>
      </c>
      <c r="X3" s="87"/>
    </row>
    <row r="4" spans="1:47" s="20" customFormat="1" ht="51" customHeight="1" x14ac:dyDescent="0.2">
      <c r="A4" s="77" t="s">
        <v>2</v>
      </c>
      <c r="B4" s="740" t="s">
        <v>3</v>
      </c>
      <c r="C4" s="740" t="s">
        <v>28</v>
      </c>
      <c r="D4" s="740" t="s">
        <v>1</v>
      </c>
      <c r="E4" s="740" t="s">
        <v>0</v>
      </c>
      <c r="F4" s="740" t="s">
        <v>24</v>
      </c>
      <c r="G4" s="740" t="s">
        <v>4</v>
      </c>
      <c r="H4" s="740" t="s">
        <v>5</v>
      </c>
      <c r="I4" s="19" t="s">
        <v>6</v>
      </c>
      <c r="J4" s="740" t="s">
        <v>7</v>
      </c>
      <c r="K4" s="19" t="s">
        <v>29</v>
      </c>
      <c r="L4" s="19" t="s">
        <v>23</v>
      </c>
      <c r="M4" s="49" t="s">
        <v>20</v>
      </c>
      <c r="N4" s="26" t="s">
        <v>21</v>
      </c>
      <c r="O4" s="44" t="s">
        <v>19</v>
      </c>
      <c r="P4" s="741" t="s">
        <v>32</v>
      </c>
      <c r="Q4" s="26" t="s">
        <v>8</v>
      </c>
      <c r="R4" s="19" t="s">
        <v>22</v>
      </c>
      <c r="S4" s="51" t="s">
        <v>44</v>
      </c>
      <c r="T4" s="121" t="s">
        <v>75</v>
      </c>
      <c r="U4" s="19" t="s">
        <v>31</v>
      </c>
      <c r="V4" s="19" t="s">
        <v>43</v>
      </c>
      <c r="W4" s="19" t="s">
        <v>26</v>
      </c>
      <c r="X4" s="21" t="s">
        <v>9</v>
      </c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</row>
    <row r="5" spans="1:47" ht="42.6" customHeight="1" x14ac:dyDescent="0.2">
      <c r="A5" s="70"/>
      <c r="B5" s="511"/>
      <c r="C5" s="511"/>
      <c r="D5" s="511"/>
      <c r="E5" s="511"/>
      <c r="F5" s="511"/>
      <c r="G5" s="539"/>
      <c r="H5" s="511"/>
      <c r="I5" s="513"/>
      <c r="J5" s="513"/>
      <c r="K5" s="511" t="s">
        <v>30</v>
      </c>
      <c r="L5" s="513"/>
      <c r="M5" s="513"/>
      <c r="N5" s="742">
        <v>0.1</v>
      </c>
      <c r="O5" s="743">
        <v>0.1</v>
      </c>
      <c r="P5" s="743">
        <v>0.08</v>
      </c>
      <c r="Q5" s="513" t="s">
        <v>88</v>
      </c>
      <c r="R5" s="513" t="s">
        <v>11</v>
      </c>
      <c r="S5" s="513" t="s">
        <v>45</v>
      </c>
      <c r="T5" s="122"/>
      <c r="U5" s="513" t="s">
        <v>25</v>
      </c>
      <c r="V5" s="513" t="s">
        <v>42</v>
      </c>
      <c r="W5" s="513" t="s">
        <v>11</v>
      </c>
      <c r="X5" s="22" t="s">
        <v>10</v>
      </c>
      <c r="Z5" s="396" t="s">
        <v>724</v>
      </c>
    </row>
    <row r="6" spans="1:47" s="100" customFormat="1" ht="67.150000000000006" customHeight="1" x14ac:dyDescent="0.2">
      <c r="A6" s="69" t="s">
        <v>47</v>
      </c>
      <c r="B6" s="744" t="s">
        <v>785</v>
      </c>
      <c r="C6" s="744" t="s">
        <v>89</v>
      </c>
      <c r="D6" s="744" t="s">
        <v>41</v>
      </c>
      <c r="E6" s="744" t="s">
        <v>46</v>
      </c>
      <c r="F6" s="744"/>
      <c r="G6" s="314"/>
      <c r="H6" s="228"/>
      <c r="I6" s="613"/>
      <c r="J6" s="613">
        <f>'ECM-1a Proj E3'!B5</f>
        <v>50</v>
      </c>
      <c r="K6" s="672">
        <f>'ECM-1a Proj E3'!C5</f>
        <v>43</v>
      </c>
      <c r="L6" s="745"/>
      <c r="M6" s="745">
        <f>J6*K6</f>
        <v>2150</v>
      </c>
      <c r="N6" s="746">
        <v>0</v>
      </c>
      <c r="O6" s="745">
        <v>0</v>
      </c>
      <c r="P6" s="620">
        <f>M6*P5</f>
        <v>172</v>
      </c>
      <c r="Q6" s="745">
        <v>0</v>
      </c>
      <c r="R6" s="746">
        <f t="shared" ref="R6:R13" si="0">SUM(M6:Q6)</f>
        <v>2322</v>
      </c>
      <c r="S6" s="746"/>
      <c r="T6" s="681">
        <v>0</v>
      </c>
      <c r="U6" s="828">
        <f>('ECM-1a Proj E3'!J5+(Z6*Z41))</f>
        <v>22019</v>
      </c>
      <c r="V6" s="830">
        <v>0</v>
      </c>
      <c r="W6" s="747">
        <f>U6*'Uti Rates &amp; Lighting Caps'!B4</f>
        <v>3368.9070000000002</v>
      </c>
      <c r="X6" s="632">
        <v>5.81</v>
      </c>
      <c r="Y6" s="590"/>
      <c r="Z6" s="708">
        <v>1</v>
      </c>
    </row>
    <row r="7" spans="1:47" ht="54" customHeight="1" x14ac:dyDescent="0.2">
      <c r="A7" s="619" t="s">
        <v>48</v>
      </c>
      <c r="B7" s="228" t="s">
        <v>51</v>
      </c>
      <c r="C7" s="744" t="s">
        <v>89</v>
      </c>
      <c r="D7" s="228" t="s">
        <v>52</v>
      </c>
      <c r="E7" s="228" t="s">
        <v>49</v>
      </c>
      <c r="F7" s="228"/>
      <c r="G7" s="227"/>
      <c r="H7" s="228"/>
      <c r="I7" s="613"/>
      <c r="J7" s="613">
        <f>'ECM-1b Proj E2'!C4</f>
        <v>1</v>
      </c>
      <c r="K7" s="672">
        <f>'ECM-1b Proj E2'!E4</f>
        <v>234</v>
      </c>
      <c r="L7" s="631">
        <f>'ECM-1b Proj E2'!F4</f>
        <v>35</v>
      </c>
      <c r="M7" s="631">
        <f>(K7+L7)*J7</f>
        <v>269</v>
      </c>
      <c r="N7" s="621"/>
      <c r="O7" s="621"/>
      <c r="P7" s="620">
        <f>M7*P5</f>
        <v>21.52</v>
      </c>
      <c r="Q7" s="621"/>
      <c r="R7" s="621">
        <f t="shared" si="0"/>
        <v>290.52</v>
      </c>
      <c r="S7" s="621"/>
      <c r="T7" s="690">
        <v>0</v>
      </c>
      <c r="U7" s="829">
        <f>('ECM-1b Proj E2'!K4)</f>
        <v>1406</v>
      </c>
      <c r="V7" s="723"/>
      <c r="W7" s="686">
        <f>'ECM-1b Proj E2'!M4</f>
        <v>215</v>
      </c>
      <c r="X7" s="349">
        <v>3</v>
      </c>
      <c r="Z7" s="709"/>
    </row>
    <row r="8" spans="1:47" s="433" customFormat="1" ht="9.75" customHeight="1" x14ac:dyDescent="0.2">
      <c r="A8" s="510"/>
      <c r="B8" s="511"/>
      <c r="C8" s="511"/>
      <c r="D8" s="511"/>
      <c r="E8" s="511"/>
      <c r="F8" s="511"/>
      <c r="G8" s="539"/>
      <c r="H8" s="511"/>
      <c r="I8" s="513"/>
      <c r="J8" s="513"/>
      <c r="K8" s="544"/>
      <c r="L8" s="523"/>
      <c r="M8" s="523"/>
      <c r="N8" s="713"/>
      <c r="O8" s="522"/>
      <c r="P8" s="522"/>
      <c r="Q8" s="522"/>
      <c r="R8" s="522"/>
      <c r="S8" s="522"/>
      <c r="T8" s="551"/>
      <c r="U8" s="714"/>
      <c r="V8" s="715"/>
      <c r="W8" s="519"/>
      <c r="X8" s="552"/>
    </row>
    <row r="9" spans="1:47" ht="92.45" customHeight="1" x14ac:dyDescent="0.2">
      <c r="A9" s="619">
        <v>2</v>
      </c>
      <c r="B9" s="228" t="s">
        <v>745</v>
      </c>
      <c r="C9" s="744" t="s">
        <v>89</v>
      </c>
      <c r="D9" s="228" t="s">
        <v>791</v>
      </c>
      <c r="E9" s="228" t="s">
        <v>61</v>
      </c>
      <c r="F9" s="5" t="s">
        <v>794</v>
      </c>
      <c r="G9" s="227"/>
      <c r="H9" s="228"/>
      <c r="I9" s="613"/>
      <c r="J9" s="613">
        <f>'ECM-2 Proj M5'!B31</f>
        <v>49</v>
      </c>
      <c r="K9" s="672">
        <f>'ECM-2 Proj M5'!J39</f>
        <v>299.46193877551019</v>
      </c>
      <c r="L9" s="716" t="s">
        <v>748</v>
      </c>
      <c r="M9" s="631">
        <f t="shared" ref="M9:M17" si="1">J9*K9</f>
        <v>14673.635</v>
      </c>
      <c r="N9" s="626">
        <v>0</v>
      </c>
      <c r="O9" s="621">
        <f>M9*10%</f>
        <v>1467.3635000000002</v>
      </c>
      <c r="P9" s="621">
        <f>M9*P5</f>
        <v>1173.8908000000001</v>
      </c>
      <c r="Q9" s="621"/>
      <c r="R9" s="621">
        <f t="shared" si="0"/>
        <v>17314.889299999999</v>
      </c>
      <c r="S9" s="621"/>
      <c r="T9" s="690">
        <v>0</v>
      </c>
      <c r="U9" s="695">
        <f>'ECM-2 Proj M5'!V38</f>
        <v>17226</v>
      </c>
      <c r="V9" s="695">
        <f>'ECM-2 Proj M5'!W38</f>
        <v>634</v>
      </c>
      <c r="W9" s="626">
        <f>'ECM-2 Proj M5'!X38</f>
        <v>2968.4279999999962</v>
      </c>
      <c r="X9" s="632">
        <v>2.66</v>
      </c>
    </row>
    <row r="10" spans="1:47" s="433" customFormat="1" ht="9.75" customHeight="1" x14ac:dyDescent="0.2">
      <c r="A10" s="510"/>
      <c r="B10" s="511"/>
      <c r="C10" s="511"/>
      <c r="D10" s="511"/>
      <c r="E10" s="511"/>
      <c r="F10" s="511"/>
      <c r="G10" s="539"/>
      <c r="H10" s="511"/>
      <c r="I10" s="513"/>
      <c r="J10" s="513"/>
      <c r="K10" s="544"/>
      <c r="L10" s="717"/>
      <c r="M10" s="523"/>
      <c r="N10" s="748"/>
      <c r="O10" s="522"/>
      <c r="P10" s="522"/>
      <c r="Q10" s="522"/>
      <c r="R10" s="522"/>
      <c r="S10" s="522"/>
      <c r="T10" s="551"/>
      <c r="U10" s="714"/>
      <c r="V10" s="715"/>
      <c r="W10" s="519"/>
      <c r="X10" s="524"/>
    </row>
    <row r="11" spans="1:47" s="120" customFormat="1" ht="58.15" customHeight="1" x14ac:dyDescent="0.25">
      <c r="A11" s="114" t="s">
        <v>62</v>
      </c>
      <c r="B11" s="749" t="s">
        <v>186</v>
      </c>
      <c r="C11" s="744" t="s">
        <v>89</v>
      </c>
      <c r="D11" s="749" t="s">
        <v>792</v>
      </c>
      <c r="E11" s="749" t="s">
        <v>741</v>
      </c>
      <c r="F11" s="230" t="s">
        <v>192</v>
      </c>
      <c r="G11" s="750"/>
      <c r="H11" s="749"/>
      <c r="I11" s="751"/>
      <c r="J11" s="751">
        <f>'ECM-3 Proj L-6a'!G6</f>
        <v>1</v>
      </c>
      <c r="K11" s="752">
        <f>'ECM-3 Proj L-6a'!AA6</f>
        <v>367</v>
      </c>
      <c r="L11" s="722" t="s">
        <v>189</v>
      </c>
      <c r="M11" s="631">
        <f t="shared" si="1"/>
        <v>367</v>
      </c>
      <c r="N11" s="753">
        <f>M11*10%</f>
        <v>36.700000000000003</v>
      </c>
      <c r="O11" s="753">
        <f>M11*10%</f>
        <v>36.700000000000003</v>
      </c>
      <c r="P11" s="760">
        <f>M11*P5</f>
        <v>29.36</v>
      </c>
      <c r="Q11" s="626">
        <v>0</v>
      </c>
      <c r="R11" s="753">
        <f t="shared" si="0"/>
        <v>469.76</v>
      </c>
      <c r="S11" s="753"/>
      <c r="T11" s="689">
        <v>0</v>
      </c>
      <c r="U11" s="695">
        <f>'ECM-3 Proj L-6a'!AI6</f>
        <v>128</v>
      </c>
      <c r="V11" s="754"/>
      <c r="W11" s="755">
        <f>'ECM-3 Proj L-6a'!AJ6</f>
        <v>19.584</v>
      </c>
      <c r="X11" s="632">
        <v>0.85</v>
      </c>
      <c r="Y11" s="158"/>
    </row>
    <row r="12" spans="1:47" s="120" customFormat="1" ht="58.15" customHeight="1" x14ac:dyDescent="0.25">
      <c r="A12" s="114" t="s">
        <v>63</v>
      </c>
      <c r="B12" s="749" t="s">
        <v>65</v>
      </c>
      <c r="C12" s="744" t="s">
        <v>89</v>
      </c>
      <c r="D12" s="749" t="s">
        <v>70</v>
      </c>
      <c r="E12" s="749" t="s">
        <v>741</v>
      </c>
      <c r="F12" s="229" t="s">
        <v>190</v>
      </c>
      <c r="G12" s="750"/>
      <c r="H12" s="749"/>
      <c r="I12" s="751"/>
      <c r="J12" s="751">
        <f>'ECM-3 Proj L-6a'!V7</f>
        <v>10</v>
      </c>
      <c r="K12" s="752">
        <f>'ECM-3 Proj L-6a'!AA7</f>
        <v>419</v>
      </c>
      <c r="L12" s="722" t="s">
        <v>189</v>
      </c>
      <c r="M12" s="756">
        <f t="shared" si="1"/>
        <v>4190</v>
      </c>
      <c r="N12" s="753">
        <f t="shared" ref="N12:N13" si="2">M12*10%</f>
        <v>419</v>
      </c>
      <c r="O12" s="753">
        <f>M12*10%</f>
        <v>419</v>
      </c>
      <c r="P12" s="760">
        <f>M12*P5</f>
        <v>335.2</v>
      </c>
      <c r="Q12" s="626">
        <v>0</v>
      </c>
      <c r="R12" s="753">
        <f t="shared" si="0"/>
        <v>5363.2</v>
      </c>
      <c r="S12" s="753"/>
      <c r="T12" s="673">
        <v>0</v>
      </c>
      <c r="U12" s="695">
        <f>'ECM-3 Proj L-6a'!AI7</f>
        <v>2774</v>
      </c>
      <c r="V12" s="754"/>
      <c r="W12" s="755">
        <f>'ECM-3 Proj L-6a'!AJ7</f>
        <v>424.42199999999997</v>
      </c>
      <c r="X12" s="350">
        <v>1.36</v>
      </c>
    </row>
    <row r="13" spans="1:47" s="120" customFormat="1" ht="58.15" customHeight="1" x14ac:dyDescent="0.2">
      <c r="A13" s="114" t="s">
        <v>66</v>
      </c>
      <c r="B13" s="749" t="s">
        <v>65</v>
      </c>
      <c r="C13" s="744" t="s">
        <v>89</v>
      </c>
      <c r="D13" s="749" t="s">
        <v>793</v>
      </c>
      <c r="E13" s="749" t="s">
        <v>741</v>
      </c>
      <c r="F13" s="198" t="s">
        <v>181</v>
      </c>
      <c r="G13" s="750"/>
      <c r="H13" s="749"/>
      <c r="I13" s="751"/>
      <c r="J13" s="751">
        <f>'ECM-3 Proj L-6a'!V8</f>
        <v>2</v>
      </c>
      <c r="K13" s="752">
        <f>'ECM-3 Proj L-6a'!AA8</f>
        <v>1000</v>
      </c>
      <c r="L13" s="722" t="s">
        <v>189</v>
      </c>
      <c r="M13" s="756">
        <f t="shared" si="1"/>
        <v>2000</v>
      </c>
      <c r="N13" s="757">
        <f t="shared" si="2"/>
        <v>200</v>
      </c>
      <c r="O13" s="621">
        <f>M13*10%</f>
        <v>200</v>
      </c>
      <c r="P13" s="621">
        <f>M13*P5</f>
        <v>160</v>
      </c>
      <c r="Q13" s="621">
        <v>0</v>
      </c>
      <c r="R13" s="621">
        <f t="shared" si="0"/>
        <v>2560</v>
      </c>
      <c r="S13" s="753"/>
      <c r="T13" s="673">
        <v>0</v>
      </c>
      <c r="U13" s="695">
        <f>'ECM-3 Proj L-6a'!AI8</f>
        <v>2263</v>
      </c>
      <c r="V13" s="754"/>
      <c r="W13" s="755">
        <f>'ECM-3 Proj L-6a'!AJ8</f>
        <v>346.23899999999998</v>
      </c>
      <c r="X13" s="350">
        <v>2.15</v>
      </c>
    </row>
    <row r="14" spans="1:47" s="120" customFormat="1" ht="58.15" customHeight="1" x14ac:dyDescent="0.2">
      <c r="A14" s="114" t="s">
        <v>69</v>
      </c>
      <c r="B14" s="749" t="s">
        <v>67</v>
      </c>
      <c r="C14" s="228" t="s">
        <v>89</v>
      </c>
      <c r="D14" s="749" t="s">
        <v>68</v>
      </c>
      <c r="E14" s="749" t="s">
        <v>741</v>
      </c>
      <c r="F14" s="749" t="s">
        <v>739</v>
      </c>
      <c r="G14" s="750"/>
      <c r="H14" s="749"/>
      <c r="I14" s="751"/>
      <c r="J14" s="751">
        <f>'ECM-3 Proj L-6a'!G19</f>
        <v>13</v>
      </c>
      <c r="K14" s="752">
        <f>'ECM-3 Proj L-6a'!H19</f>
        <v>111</v>
      </c>
      <c r="L14" s="722" t="s">
        <v>271</v>
      </c>
      <c r="M14" s="756">
        <f t="shared" si="1"/>
        <v>1443</v>
      </c>
      <c r="N14" s="753">
        <v>0</v>
      </c>
      <c r="O14" s="753">
        <v>0</v>
      </c>
      <c r="P14" s="753">
        <v>0</v>
      </c>
      <c r="Q14" s="626">
        <v>0</v>
      </c>
      <c r="R14" s="753">
        <f>SUM(M14:Q14)</f>
        <v>1443</v>
      </c>
      <c r="S14" s="753"/>
      <c r="T14" s="673">
        <v>0</v>
      </c>
      <c r="U14" s="695">
        <f>'ECM-3 Proj L-6a'!K19</f>
        <v>1320.2614379084966</v>
      </c>
      <c r="V14" s="754"/>
      <c r="W14" s="755">
        <f>'ECM-3 Proj L-6a'!I19</f>
        <v>202</v>
      </c>
      <c r="X14" s="350">
        <v>1.23</v>
      </c>
      <c r="Y14" s="332"/>
    </row>
    <row r="15" spans="1:47" s="120" customFormat="1" ht="9.75" customHeight="1" x14ac:dyDescent="0.2">
      <c r="A15" s="525"/>
      <c r="B15" s="526"/>
      <c r="C15" s="511"/>
      <c r="D15" s="526"/>
      <c r="E15" s="526"/>
      <c r="F15" s="526"/>
      <c r="G15" s="528"/>
      <c r="H15" s="526"/>
      <c r="I15" s="470"/>
      <c r="J15" s="470"/>
      <c r="K15" s="719"/>
      <c r="L15" s="717"/>
      <c r="M15" s="720"/>
      <c r="N15" s="533"/>
      <c r="O15" s="533"/>
      <c r="P15" s="533"/>
      <c r="Q15" s="519"/>
      <c r="R15" s="533"/>
      <c r="S15" s="533"/>
      <c r="T15" s="550"/>
      <c r="U15" s="721"/>
      <c r="V15" s="721"/>
      <c r="W15" s="537"/>
      <c r="X15" s="538"/>
      <c r="Y15" s="332"/>
    </row>
    <row r="16" spans="1:47" s="120" customFormat="1" ht="58.15" customHeight="1" x14ac:dyDescent="0.2">
      <c r="A16" s="619" t="s">
        <v>72</v>
      </c>
      <c r="B16" s="228" t="s">
        <v>73</v>
      </c>
      <c r="C16" s="228" t="s">
        <v>89</v>
      </c>
      <c r="D16" s="228" t="s">
        <v>197</v>
      </c>
      <c r="E16" s="228" t="s">
        <v>789</v>
      </c>
      <c r="F16" s="228" t="s">
        <v>731</v>
      </c>
      <c r="G16" s="227"/>
      <c r="H16" s="228" t="s">
        <v>730</v>
      </c>
      <c r="I16" s="613"/>
      <c r="J16" s="613">
        <f>'ECM-4 Proj L1'!I11</f>
        <v>1508</v>
      </c>
      <c r="K16" s="672">
        <f>'ECM-4 Proj L1'!I15</f>
        <v>17.75</v>
      </c>
      <c r="L16" s="722" t="s">
        <v>221</v>
      </c>
      <c r="M16" s="631">
        <f t="shared" si="1"/>
        <v>26767</v>
      </c>
      <c r="N16" s="621"/>
      <c r="O16" s="621"/>
      <c r="P16" s="620">
        <f>M16*P5</f>
        <v>2141.36</v>
      </c>
      <c r="Q16" s="621"/>
      <c r="R16" s="854">
        <f>M16+N16+O16+P16+Q6+M17+N17+O17+P17+Q17</f>
        <v>34405.020000000004</v>
      </c>
      <c r="S16" s="859"/>
      <c r="T16" s="863">
        <v>0</v>
      </c>
      <c r="U16" s="861">
        <v>49186</v>
      </c>
      <c r="V16" s="859"/>
      <c r="W16" s="857">
        <v>9475</v>
      </c>
      <c r="X16" s="856">
        <v>4.12</v>
      </c>
      <c r="Y16" s="546"/>
    </row>
    <row r="17" spans="1:46" s="120" customFormat="1" ht="58.15" customHeight="1" x14ac:dyDescent="0.2">
      <c r="A17" s="619" t="s">
        <v>196</v>
      </c>
      <c r="B17" s="228" t="s">
        <v>73</v>
      </c>
      <c r="C17" s="228" t="s">
        <v>89</v>
      </c>
      <c r="D17" s="228" t="s">
        <v>198</v>
      </c>
      <c r="E17" s="228" t="s">
        <v>732</v>
      </c>
      <c r="F17" s="228" t="s">
        <v>790</v>
      </c>
      <c r="G17" s="227"/>
      <c r="H17" s="228"/>
      <c r="I17" s="613"/>
      <c r="J17" s="687">
        <f>'ECM-4 Proj L1'!I25</f>
        <v>188.5</v>
      </c>
      <c r="K17" s="672">
        <f>'ECM-4 Proj L1'!I29</f>
        <v>27</v>
      </c>
      <c r="L17" s="722" t="s">
        <v>221</v>
      </c>
      <c r="M17" s="631">
        <f t="shared" si="1"/>
        <v>5089.5</v>
      </c>
      <c r="N17" s="621"/>
      <c r="O17" s="621"/>
      <c r="P17" s="620">
        <f>M17*P5</f>
        <v>407.16</v>
      </c>
      <c r="Q17" s="621"/>
      <c r="R17" s="855"/>
      <c r="S17" s="860"/>
      <c r="T17" s="864"/>
      <c r="U17" s="862"/>
      <c r="V17" s="860"/>
      <c r="W17" s="858"/>
      <c r="X17" s="837"/>
      <c r="Y17" s="332"/>
    </row>
    <row r="18" spans="1:46" s="341" customFormat="1" ht="53.45" customHeight="1" x14ac:dyDescent="0.2">
      <c r="A18" s="619" t="s">
        <v>315</v>
      </c>
      <c r="B18" s="228" t="s">
        <v>316</v>
      </c>
      <c r="C18" s="744" t="s">
        <v>89</v>
      </c>
      <c r="D18" s="228" t="s">
        <v>795</v>
      </c>
      <c r="E18" s="228" t="s">
        <v>317</v>
      </c>
      <c r="F18" s="102" t="s">
        <v>796</v>
      </c>
      <c r="G18" s="102"/>
      <c r="H18" s="112"/>
      <c r="I18" s="102"/>
      <c r="J18" s="688">
        <f>'ECM-4 Proj L1'!I59</f>
        <v>20</v>
      </c>
      <c r="K18" s="724">
        <f>'ECM-4 Proj L1'!I63</f>
        <v>15</v>
      </c>
      <c r="L18" s="683">
        <f>'ECM-4 Proj L1'!I64</f>
        <v>2</v>
      </c>
      <c r="M18" s="684">
        <f>(K18+L18)*J18</f>
        <v>340</v>
      </c>
      <c r="N18" s="684">
        <v>0</v>
      </c>
      <c r="O18" s="625">
        <v>0</v>
      </c>
      <c r="P18" s="628">
        <f>M18*P5</f>
        <v>27.2</v>
      </c>
      <c r="Q18" s="628"/>
      <c r="R18" s="628">
        <f>SUM(M18:Q18)</f>
        <v>367.2</v>
      </c>
      <c r="S18" s="628"/>
      <c r="T18" s="685">
        <v>0</v>
      </c>
      <c r="U18" s="762">
        <f>'ECM-4 Proj L1'!I65</f>
        <v>584</v>
      </c>
      <c r="V18" s="625"/>
      <c r="W18" s="684">
        <f>'ECM-4 Proj L1'!I66</f>
        <v>89.352000000000004</v>
      </c>
      <c r="X18" s="363">
        <v>3.66</v>
      </c>
      <c r="Y18" s="29"/>
      <c r="Z18" s="330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</row>
    <row r="19" spans="1:46" s="433" customFormat="1" ht="9.75" customHeight="1" x14ac:dyDescent="0.2">
      <c r="A19" s="510"/>
      <c r="B19" s="511"/>
      <c r="C19" s="511"/>
      <c r="D19" s="511"/>
      <c r="E19" s="511"/>
      <c r="F19" s="499"/>
      <c r="G19" s="499"/>
      <c r="H19" s="500"/>
      <c r="I19" s="499"/>
      <c r="J19" s="548"/>
      <c r="K19" s="725"/>
      <c r="L19" s="502"/>
      <c r="M19" s="503"/>
      <c r="N19" s="503"/>
      <c r="O19" s="504"/>
      <c r="P19" s="505"/>
      <c r="Q19" s="505"/>
      <c r="R19" s="505"/>
      <c r="S19" s="505"/>
      <c r="T19" s="506"/>
      <c r="U19" s="726"/>
      <c r="V19" s="504"/>
      <c r="W19" s="503"/>
      <c r="X19" s="549"/>
      <c r="Y19" s="29"/>
      <c r="Z19" s="45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51" x14ac:dyDescent="0.2">
      <c r="A20" s="619" t="s">
        <v>80</v>
      </c>
      <c r="B20" s="228" t="s">
        <v>79</v>
      </c>
      <c r="C20" s="744" t="s">
        <v>89</v>
      </c>
      <c r="D20" s="228" t="s">
        <v>83</v>
      </c>
      <c r="E20" s="228" t="s">
        <v>709</v>
      </c>
      <c r="F20" s="102" t="s">
        <v>705</v>
      </c>
      <c r="G20" s="102"/>
      <c r="H20" s="112"/>
      <c r="I20" s="102"/>
      <c r="J20" s="682">
        <f>'ECM-5 Proj M1a '!E31</f>
        <v>2</v>
      </c>
      <c r="K20" s="683">
        <f>'ECM-5 Proj M1a '!H31</f>
        <v>5591</v>
      </c>
      <c r="L20" s="683">
        <v>3500</v>
      </c>
      <c r="M20" s="684">
        <f>J20*(K20+L20)</f>
        <v>18182</v>
      </c>
      <c r="N20" s="684">
        <f>M20*N5</f>
        <v>1818.2</v>
      </c>
      <c r="O20" s="625">
        <f>M20*O5</f>
        <v>1818.2</v>
      </c>
      <c r="P20" s="628">
        <f>M20*P5</f>
        <v>1454.56</v>
      </c>
      <c r="Q20" s="628">
        <f>M20*1.5%</f>
        <v>272.73</v>
      </c>
      <c r="R20" s="852">
        <f>M20+N20+O20+P20+Q20+M21+N21+O21+P21+Q21</f>
        <v>72714.250000000015</v>
      </c>
      <c r="S20" s="852"/>
      <c r="T20" s="852">
        <v>0</v>
      </c>
      <c r="U20" s="865">
        <f>'ECM-5 Proj M1a '!F33</f>
        <v>25232</v>
      </c>
      <c r="V20" s="865">
        <f>'ECM-5 Proj M1a '!G31</f>
        <v>0</v>
      </c>
      <c r="W20" s="852">
        <f>'ECM-5 Proj M1a '!J33</f>
        <v>3860.4960000000001</v>
      </c>
      <c r="X20" s="856">
        <v>0.99</v>
      </c>
      <c r="Y20" s="319"/>
      <c r="Z20" s="130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s="433" customFormat="1" ht="38.25" customHeight="1" x14ac:dyDescent="0.2">
      <c r="A21" s="619" t="s">
        <v>80</v>
      </c>
      <c r="B21" s="228" t="s">
        <v>79</v>
      </c>
      <c r="C21" s="744" t="s">
        <v>89</v>
      </c>
      <c r="D21" s="228" t="s">
        <v>83</v>
      </c>
      <c r="E21" s="228" t="s">
        <v>735</v>
      </c>
      <c r="F21" s="102" t="s">
        <v>706</v>
      </c>
      <c r="G21" s="102"/>
      <c r="H21" s="112"/>
      <c r="I21" s="102"/>
      <c r="J21" s="682">
        <f>'ECM-5 Proj M1a '!E32</f>
        <v>4</v>
      </c>
      <c r="K21" s="683">
        <f>'ECM-5 Proj M1a '!H32</f>
        <v>5992.0000000000009</v>
      </c>
      <c r="L21" s="683">
        <v>3500</v>
      </c>
      <c r="M21" s="684">
        <f>J21*(K21+L21)</f>
        <v>37968</v>
      </c>
      <c r="N21" s="684">
        <f>M21*N5</f>
        <v>3796.8</v>
      </c>
      <c r="O21" s="625">
        <f>M21*O5</f>
        <v>3796.8</v>
      </c>
      <c r="P21" s="628">
        <f>M21*P5</f>
        <v>3037.44</v>
      </c>
      <c r="Q21" s="628">
        <f>M21*1.5%</f>
        <v>569.52</v>
      </c>
      <c r="R21" s="853"/>
      <c r="S21" s="853"/>
      <c r="T21" s="853"/>
      <c r="U21" s="866"/>
      <c r="V21" s="866"/>
      <c r="W21" s="853"/>
      <c r="X21" s="837"/>
      <c r="Y21" s="319"/>
      <c r="Z21" s="45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51" x14ac:dyDescent="0.2">
      <c r="A22" s="619" t="s">
        <v>82</v>
      </c>
      <c r="B22" s="228" t="s">
        <v>79</v>
      </c>
      <c r="C22" s="744" t="s">
        <v>89</v>
      </c>
      <c r="D22" s="228" t="s">
        <v>84</v>
      </c>
      <c r="E22" s="228" t="s">
        <v>734</v>
      </c>
      <c r="F22" s="102" t="s">
        <v>710</v>
      </c>
      <c r="G22" s="102"/>
      <c r="H22" s="112"/>
      <c r="I22" s="102"/>
      <c r="J22" s="682">
        <f>'ECM-5 Proj M1a '!E64</f>
        <v>3</v>
      </c>
      <c r="K22" s="683">
        <f>'ECM-5 Proj M1a '!H63</f>
        <v>7553</v>
      </c>
      <c r="L22" s="683">
        <v>3500</v>
      </c>
      <c r="M22" s="684">
        <f>J22*(K22+L22)</f>
        <v>33159</v>
      </c>
      <c r="N22" s="684">
        <f>M22*N5</f>
        <v>3315.9</v>
      </c>
      <c r="O22" s="625">
        <f>M22*N5</f>
        <v>3315.9</v>
      </c>
      <c r="P22" s="761">
        <f>M22*P5</f>
        <v>2652.7200000000003</v>
      </c>
      <c r="Q22" s="628">
        <f>M22*1.5%</f>
        <v>497.38499999999999</v>
      </c>
      <c r="R22" s="628">
        <f>SUM(M22:Q22)</f>
        <v>42940.905000000006</v>
      </c>
      <c r="S22" s="628"/>
      <c r="T22" s="685">
        <v>0</v>
      </c>
      <c r="U22" s="762">
        <f>'ECM-5 Proj M1a '!F64</f>
        <v>8373</v>
      </c>
      <c r="V22" s="762">
        <f>'ECM-5 Proj M1a '!G64</f>
        <v>3</v>
      </c>
      <c r="W22" s="684">
        <f>'ECM-5 Proj M1a '!J64</f>
        <v>1282.644</v>
      </c>
      <c r="X22" s="739">
        <v>0.67</v>
      </c>
      <c r="Y22" s="319"/>
      <c r="Z22" s="130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1:46" ht="26.45" customHeight="1" thickBot="1" x14ac:dyDescent="0.3">
      <c r="A23" s="71"/>
      <c r="B23" s="23"/>
      <c r="C23" s="23"/>
      <c r="D23" s="23"/>
      <c r="E23" s="23"/>
      <c r="F23" s="23"/>
      <c r="G23" s="24"/>
      <c r="H23" s="23"/>
      <c r="I23" s="28"/>
      <c r="J23" s="28"/>
      <c r="K23" s="727"/>
      <c r="L23" s="727"/>
      <c r="M23" s="727">
        <f t="shared" ref="M23:W23" si="3">SUM(M6:M22)</f>
        <v>146598.13500000001</v>
      </c>
      <c r="N23" s="727">
        <f t="shared" si="3"/>
        <v>9586.6</v>
      </c>
      <c r="O23" s="727">
        <f t="shared" si="3"/>
        <v>11053.9635</v>
      </c>
      <c r="P23" s="727">
        <f t="shared" si="3"/>
        <v>11612.410800000001</v>
      </c>
      <c r="Q23" s="727">
        <f t="shared" si="3"/>
        <v>1339.635</v>
      </c>
      <c r="R23" s="25">
        <f>SUM(R6:R22)</f>
        <v>180190.74430000002</v>
      </c>
      <c r="S23" s="25">
        <f t="shared" si="3"/>
        <v>0</v>
      </c>
      <c r="T23" s="25">
        <f t="shared" si="3"/>
        <v>0</v>
      </c>
      <c r="U23" s="131">
        <f t="shared" si="3"/>
        <v>130511.2614379085</v>
      </c>
      <c r="V23" s="131">
        <f t="shared" si="3"/>
        <v>637</v>
      </c>
      <c r="W23" s="25">
        <f t="shared" si="3"/>
        <v>22252.071999999993</v>
      </c>
      <c r="X23" s="88">
        <v>1.77</v>
      </c>
    </row>
    <row r="24" spans="1:46" s="8" customFormat="1" ht="13.5" thickBot="1" x14ac:dyDescent="0.25">
      <c r="A24" s="97"/>
      <c r="B24" s="15"/>
      <c r="C24" s="7"/>
      <c r="D24" s="4"/>
      <c r="E24" s="4"/>
      <c r="F24" s="4"/>
      <c r="G24" s="6"/>
      <c r="I24" s="97"/>
      <c r="J24" s="97"/>
      <c r="O24" s="29"/>
      <c r="P24" s="29"/>
      <c r="U24" s="97"/>
      <c r="V24" s="97"/>
      <c r="X24" s="133"/>
    </row>
    <row r="25" spans="1:46" s="8" customFormat="1" x14ac:dyDescent="0.2">
      <c r="A25" s="97"/>
      <c r="C25" s="7"/>
      <c r="D25" s="7"/>
      <c r="E25" s="322" t="s">
        <v>266</v>
      </c>
      <c r="F25" s="327">
        <f>R23</f>
        <v>180190.74430000002</v>
      </c>
      <c r="G25" s="6"/>
      <c r="I25" s="97"/>
      <c r="J25" s="97"/>
      <c r="O25" s="29"/>
      <c r="P25" s="29"/>
      <c r="R25" s="838" t="s">
        <v>720</v>
      </c>
      <c r="S25" s="839"/>
      <c r="T25" s="839"/>
      <c r="U25" s="839"/>
      <c r="V25" s="840"/>
      <c r="X25" s="133"/>
      <c r="Z25" s="182"/>
    </row>
    <row r="26" spans="1:46" ht="12.75" customHeight="1" x14ac:dyDescent="0.2">
      <c r="A26" s="97"/>
      <c r="C26" s="7"/>
      <c r="D26" s="7"/>
      <c r="E26" s="323" t="s">
        <v>267</v>
      </c>
      <c r="F26" s="324">
        <f>S23</f>
        <v>0</v>
      </c>
      <c r="G26" s="9"/>
      <c r="H26" s="4"/>
      <c r="I26" s="14"/>
      <c r="J26" s="14"/>
      <c r="K26" s="4"/>
      <c r="R26" s="655"/>
      <c r="S26" s="568"/>
      <c r="T26" s="588" t="s">
        <v>715</v>
      </c>
      <c r="U26" s="567">
        <v>440390</v>
      </c>
      <c r="V26" s="656"/>
    </row>
    <row r="27" spans="1:46" ht="13.5" thickBot="1" x14ac:dyDescent="0.25">
      <c r="D27" s="4"/>
      <c r="E27" s="325" t="s">
        <v>268</v>
      </c>
      <c r="F27" s="326">
        <f>F25-F26</f>
        <v>180190.74430000002</v>
      </c>
      <c r="R27" s="657"/>
      <c r="S27" s="611"/>
      <c r="T27" s="553" t="s">
        <v>722</v>
      </c>
      <c r="U27" s="555">
        <f>U26*15%</f>
        <v>66058.5</v>
      </c>
      <c r="V27" s="658"/>
    </row>
    <row r="28" spans="1:46" ht="13.5" thickBot="1" x14ac:dyDescent="0.25">
      <c r="R28" s="657"/>
      <c r="S28" s="611"/>
      <c r="T28" s="553" t="s">
        <v>723</v>
      </c>
      <c r="U28" s="554">
        <f>U11+U12+U13+U16+U18</f>
        <v>54935</v>
      </c>
      <c r="V28" s="658"/>
    </row>
    <row r="29" spans="1:46" ht="13.5" thickTop="1" x14ac:dyDescent="0.2">
      <c r="R29" s="660"/>
      <c r="S29" s="661"/>
      <c r="T29" s="556" t="s">
        <v>101</v>
      </c>
      <c r="U29" s="557">
        <f>U27-U28</f>
        <v>11123.5</v>
      </c>
      <c r="V29" s="662"/>
    </row>
    <row r="30" spans="1:46" ht="8.25" customHeight="1" x14ac:dyDescent="0.2">
      <c r="R30" s="666"/>
      <c r="S30" s="666"/>
      <c r="T30" s="666"/>
      <c r="U30" s="615"/>
      <c r="V30" s="615"/>
    </row>
    <row r="31" spans="1:46" x14ac:dyDescent="0.2">
      <c r="R31" s="838" t="s">
        <v>728</v>
      </c>
      <c r="S31" s="839"/>
      <c r="T31" s="839"/>
      <c r="U31" s="839"/>
      <c r="V31" s="840"/>
    </row>
    <row r="32" spans="1:46" x14ac:dyDescent="0.2">
      <c r="R32" s="657"/>
      <c r="S32" s="611"/>
      <c r="T32" s="553" t="s">
        <v>715</v>
      </c>
      <c r="U32" s="659">
        <v>440390</v>
      </c>
      <c r="V32" s="658"/>
    </row>
    <row r="33" spans="9:26" x14ac:dyDescent="0.2">
      <c r="I33" s="614"/>
      <c r="J33" s="614"/>
      <c r="K33" s="553"/>
      <c r="L33" s="565"/>
      <c r="M33" s="618"/>
      <c r="R33" s="657"/>
      <c r="S33" s="611"/>
      <c r="T33" s="553" t="s">
        <v>729</v>
      </c>
      <c r="U33" s="555">
        <f>U32*25%</f>
        <v>110097.5</v>
      </c>
      <c r="V33" s="658"/>
    </row>
    <row r="34" spans="9:26" ht="13.5" thickBot="1" x14ac:dyDescent="0.25">
      <c r="I34" s="614"/>
      <c r="J34" s="614"/>
      <c r="K34" s="553"/>
      <c r="L34" s="565"/>
      <c r="M34" s="618"/>
      <c r="R34" s="657"/>
      <c r="S34" s="611"/>
      <c r="T34" s="553" t="s">
        <v>717</v>
      </c>
      <c r="U34" s="554">
        <f>U20+U21+U22</f>
        <v>33605</v>
      </c>
      <c r="V34" s="658"/>
    </row>
    <row r="35" spans="9:26" ht="13.5" thickTop="1" x14ac:dyDescent="0.2">
      <c r="R35" s="660"/>
      <c r="S35" s="661"/>
      <c r="T35" s="556" t="s">
        <v>101</v>
      </c>
      <c r="U35" s="557">
        <f>U33-U34</f>
        <v>76492.5</v>
      </c>
      <c r="V35" s="662"/>
    </row>
    <row r="36" spans="9:26" ht="6" customHeight="1" x14ac:dyDescent="0.2">
      <c r="R36" s="666"/>
      <c r="S36" s="666"/>
      <c r="T36" s="666"/>
      <c r="U36" s="615"/>
      <c r="V36" s="615"/>
    </row>
    <row r="37" spans="9:26" x14ac:dyDescent="0.2">
      <c r="R37" s="838" t="s">
        <v>716</v>
      </c>
      <c r="S37" s="839"/>
      <c r="T37" s="839"/>
      <c r="U37" s="839"/>
      <c r="V37" s="840"/>
    </row>
    <row r="38" spans="9:26" x14ac:dyDescent="0.2">
      <c r="R38" s="657"/>
      <c r="S38" s="611"/>
      <c r="T38" s="553" t="s">
        <v>715</v>
      </c>
      <c r="U38" s="659">
        <v>440390</v>
      </c>
      <c r="V38" s="658"/>
    </row>
    <row r="39" spans="9:26" ht="10.5" customHeight="1" x14ac:dyDescent="0.2">
      <c r="R39" s="657"/>
      <c r="S39" s="611"/>
      <c r="T39" s="553" t="s">
        <v>718</v>
      </c>
      <c r="U39" s="555">
        <f>U38*5%</f>
        <v>22019.5</v>
      </c>
      <c r="V39" s="658"/>
    </row>
    <row r="40" spans="9:26" ht="13.5" thickBot="1" x14ac:dyDescent="0.25">
      <c r="R40" s="657"/>
      <c r="S40" s="611"/>
      <c r="T40" s="553" t="s">
        <v>719</v>
      </c>
      <c r="U40" s="554">
        <f>U6</f>
        <v>22019</v>
      </c>
      <c r="V40" s="658"/>
      <c r="Z40" s="158" t="s">
        <v>744</v>
      </c>
    </row>
    <row r="41" spans="9:26" ht="13.5" thickTop="1" x14ac:dyDescent="0.2">
      <c r="R41" s="660"/>
      <c r="S41" s="661"/>
      <c r="T41" s="556" t="s">
        <v>101</v>
      </c>
      <c r="U41" s="557">
        <f>U39-U40</f>
        <v>0.5</v>
      </c>
      <c r="V41" s="662"/>
      <c r="Z41" s="707">
        <v>-594</v>
      </c>
    </row>
  </sheetData>
  <sheetProtection algorithmName="SHA-512" hashValue="O/UteSpu3J46zR1LmSBscwfZuFBDbn9Rl8kFT1mfcF6AU6Ea34CLKtjfUflHo3QcxGOniy5EwLhpuiqzW3GRIg==" saltValue="1IfjVaOBuUUdAU2zULFRQA==" spinCount="100000" sheet="1" objects="1" scenarios="1" selectLockedCells="1" selectUnlockedCells="1"/>
  <mergeCells count="21">
    <mergeCell ref="A1:J1"/>
    <mergeCell ref="A2:D2"/>
    <mergeCell ref="A3:D3"/>
    <mergeCell ref="E3:H3"/>
    <mergeCell ref="X20:X21"/>
    <mergeCell ref="R25:V25"/>
    <mergeCell ref="R31:V31"/>
    <mergeCell ref="R37:V37"/>
    <mergeCell ref="X16:X17"/>
    <mergeCell ref="W16:W17"/>
    <mergeCell ref="V16:V17"/>
    <mergeCell ref="U16:U17"/>
    <mergeCell ref="T16:T17"/>
    <mergeCell ref="S16:S17"/>
    <mergeCell ref="R16:R17"/>
    <mergeCell ref="W20:W21"/>
    <mergeCell ref="V20:V21"/>
    <mergeCell ref="U20:U21"/>
    <mergeCell ref="T20:T21"/>
    <mergeCell ref="S20:S21"/>
    <mergeCell ref="R20:R21"/>
  </mergeCells>
  <printOptions horizontalCentered="1" verticalCentered="1"/>
  <pageMargins left="0.75" right="0.75" top="1" bottom="1" header="0.5" footer="0.5"/>
  <pageSetup paperSize="3" scale="60" orientation="landscape" r:id="rId1"/>
  <headerFooter>
    <oddFooter>&amp;L&amp;D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U42"/>
  <sheetViews>
    <sheetView zoomScale="60" zoomScaleNormal="60" zoomScalePageLayoutView="7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J23" sqref="J23"/>
    </sheetView>
  </sheetViews>
  <sheetFormatPr defaultColWidth="2.5703125" defaultRowHeight="12.75" outlineLevelCol="1" x14ac:dyDescent="0.2"/>
  <cols>
    <col min="1" max="1" width="8.42578125" style="27" customWidth="1"/>
    <col min="2" max="2" width="35.28515625" style="1" customWidth="1"/>
    <col min="3" max="3" width="22.28515625" style="1" customWidth="1"/>
    <col min="4" max="6" width="25.28515625" style="1" customWidth="1"/>
    <col min="7" max="7" width="13.42578125" style="3" hidden="1" customWidth="1"/>
    <col min="8" max="8" width="19.28515625" hidden="1" customWidth="1"/>
    <col min="9" max="9" width="12.42578125" style="27" hidden="1" customWidth="1"/>
    <col min="10" max="10" width="12.42578125" style="27" customWidth="1"/>
    <col min="11" max="11" width="11.7109375" customWidth="1" outlineLevel="1"/>
    <col min="12" max="12" width="13.140625" customWidth="1" outlineLevel="1"/>
    <col min="13" max="13" width="15.28515625" customWidth="1" outlineLevel="1"/>
    <col min="14" max="14" width="17.5703125" customWidth="1" outlineLevel="1"/>
    <col min="15" max="16" width="16.7109375" style="41" customWidth="1" outlineLevel="1"/>
    <col min="17" max="17" width="18.5703125" customWidth="1" outlineLevel="1"/>
    <col min="18" max="18" width="15" customWidth="1"/>
    <col min="19" max="19" width="15" customWidth="1" outlineLevel="1"/>
    <col min="20" max="20" width="13.5703125" customWidth="1"/>
    <col min="21" max="22" width="15" style="27" customWidth="1"/>
    <col min="23" max="23" width="13.5703125" customWidth="1"/>
    <col min="24" max="24" width="11.5703125" style="27" customWidth="1"/>
    <col min="25" max="25" width="8.5703125" customWidth="1"/>
    <col min="26" max="26" width="18.85546875" customWidth="1"/>
  </cols>
  <sheetData>
    <row r="1" spans="1:47" ht="9.75" customHeight="1" thickBot="1" x14ac:dyDescent="0.25">
      <c r="A1" s="841"/>
      <c r="B1" s="841"/>
      <c r="C1" s="841"/>
      <c r="D1" s="841"/>
      <c r="E1" s="841"/>
      <c r="F1" s="841"/>
      <c r="G1" s="841"/>
      <c r="H1" s="841"/>
      <c r="I1" s="841"/>
      <c r="J1" s="841"/>
      <c r="K1" s="97"/>
    </row>
    <row r="2" spans="1:47" s="12" customFormat="1" ht="21" customHeight="1" x14ac:dyDescent="0.3">
      <c r="A2" s="842" t="s">
        <v>36</v>
      </c>
      <c r="B2" s="843"/>
      <c r="C2" s="843"/>
      <c r="D2" s="843"/>
      <c r="E2" s="98"/>
      <c r="F2" s="98"/>
      <c r="G2" s="47"/>
      <c r="H2" s="34"/>
      <c r="I2" s="48"/>
      <c r="J2" s="48"/>
      <c r="K2" s="34"/>
      <c r="L2" s="34"/>
      <c r="M2" s="34"/>
      <c r="N2" s="34"/>
      <c r="O2" s="42"/>
      <c r="P2" s="42"/>
      <c r="Q2" s="34"/>
      <c r="R2" s="34"/>
      <c r="S2" s="34"/>
      <c r="T2" s="34"/>
      <c r="U2" s="48"/>
      <c r="V2" s="48"/>
      <c r="W2" s="34"/>
      <c r="X2" s="86"/>
    </row>
    <row r="3" spans="1:47" s="12" customFormat="1" ht="20.25" x14ac:dyDescent="0.3">
      <c r="A3" s="844" t="s">
        <v>39</v>
      </c>
      <c r="B3" s="845"/>
      <c r="C3" s="845"/>
      <c r="D3" s="845"/>
      <c r="E3" s="845"/>
      <c r="F3" s="845"/>
      <c r="G3" s="845"/>
      <c r="H3" s="845"/>
      <c r="I3" s="104"/>
      <c r="J3" s="104"/>
      <c r="K3" s="16"/>
      <c r="L3" s="16"/>
      <c r="M3" s="16"/>
      <c r="N3" s="16"/>
      <c r="O3" s="43"/>
      <c r="P3" s="43"/>
      <c r="Q3" s="16"/>
      <c r="R3" s="16"/>
      <c r="S3" s="16"/>
      <c r="T3" s="16"/>
      <c r="U3" s="589"/>
      <c r="V3" s="618"/>
      <c r="W3" s="589"/>
      <c r="X3" s="87"/>
    </row>
    <row r="4" spans="1:47" s="20" customFormat="1" ht="51" customHeight="1" x14ac:dyDescent="0.2">
      <c r="A4" s="77" t="s">
        <v>2</v>
      </c>
      <c r="B4" s="72" t="s">
        <v>3</v>
      </c>
      <c r="C4" s="72" t="s">
        <v>28</v>
      </c>
      <c r="D4" s="72" t="s">
        <v>1</v>
      </c>
      <c r="E4" s="72" t="s">
        <v>0</v>
      </c>
      <c r="F4" s="72" t="s">
        <v>24</v>
      </c>
      <c r="G4" s="72" t="s">
        <v>4</v>
      </c>
      <c r="H4" s="72" t="s">
        <v>5</v>
      </c>
      <c r="I4" s="19" t="s">
        <v>6</v>
      </c>
      <c r="J4" s="72" t="s">
        <v>7</v>
      </c>
      <c r="K4" s="19" t="s">
        <v>29</v>
      </c>
      <c r="L4" s="19" t="s">
        <v>23</v>
      </c>
      <c r="M4" s="49" t="s">
        <v>20</v>
      </c>
      <c r="N4" s="26" t="s">
        <v>21</v>
      </c>
      <c r="O4" s="44" t="s">
        <v>19</v>
      </c>
      <c r="P4" s="60" t="s">
        <v>32</v>
      </c>
      <c r="Q4" s="26" t="s">
        <v>8</v>
      </c>
      <c r="R4" s="19" t="s">
        <v>22</v>
      </c>
      <c r="S4" s="51" t="s">
        <v>44</v>
      </c>
      <c r="T4" s="121" t="s">
        <v>75</v>
      </c>
      <c r="U4" s="19" t="s">
        <v>31</v>
      </c>
      <c r="V4" s="19" t="s">
        <v>43</v>
      </c>
      <c r="W4" s="19" t="s">
        <v>26</v>
      </c>
      <c r="X4" s="21" t="s">
        <v>9</v>
      </c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</row>
    <row r="5" spans="1:47" ht="42.6" customHeight="1" x14ac:dyDescent="0.2">
      <c r="A5" s="70"/>
      <c r="B5" s="10"/>
      <c r="C5" s="10"/>
      <c r="D5" s="10"/>
      <c r="E5" s="10"/>
      <c r="F5" s="10"/>
      <c r="G5" s="11"/>
      <c r="H5" s="10"/>
      <c r="I5" s="17"/>
      <c r="J5" s="17"/>
      <c r="K5" s="10"/>
      <c r="L5" s="17"/>
      <c r="M5" s="17"/>
      <c r="N5" s="18">
        <v>0.1</v>
      </c>
      <c r="O5" s="46">
        <v>0.1</v>
      </c>
      <c r="P5" s="46">
        <v>0.08</v>
      </c>
      <c r="Q5" s="17" t="s">
        <v>88</v>
      </c>
      <c r="R5" s="17" t="s">
        <v>11</v>
      </c>
      <c r="S5" s="17" t="s">
        <v>45</v>
      </c>
      <c r="T5" s="122"/>
      <c r="U5" s="17" t="s">
        <v>25</v>
      </c>
      <c r="V5" s="17" t="s">
        <v>42</v>
      </c>
      <c r="W5" s="17" t="s">
        <v>11</v>
      </c>
      <c r="X5" s="22" t="s">
        <v>10</v>
      </c>
      <c r="Z5" s="396"/>
    </row>
    <row r="6" spans="1:47" s="100" customFormat="1" ht="67.150000000000006" customHeight="1" x14ac:dyDescent="0.2">
      <c r="A6" s="69" t="s">
        <v>47</v>
      </c>
      <c r="B6" s="2" t="s">
        <v>785</v>
      </c>
      <c r="C6" s="2" t="s">
        <v>89</v>
      </c>
      <c r="D6" s="2" t="s">
        <v>41</v>
      </c>
      <c r="E6" s="2" t="s">
        <v>46</v>
      </c>
      <c r="F6" s="2"/>
      <c r="G6" s="99"/>
      <c r="H6" s="5"/>
      <c r="I6" s="13"/>
      <c r="J6" s="13">
        <f>'ECM-1a Proj E3'!B6</f>
        <v>50</v>
      </c>
      <c r="K6" s="52">
        <f>'ECM-1a Proj E3'!C6</f>
        <v>43</v>
      </c>
      <c r="L6" s="677">
        <v>0</v>
      </c>
      <c r="M6" s="678">
        <f>J6*K6</f>
        <v>2150</v>
      </c>
      <c r="N6" s="679">
        <v>0</v>
      </c>
      <c r="O6" s="677">
        <v>0</v>
      </c>
      <c r="P6" s="106">
        <f>M6*P5</f>
        <v>172</v>
      </c>
      <c r="Q6" s="677">
        <v>0</v>
      </c>
      <c r="R6" s="680">
        <f t="shared" ref="R6:R13" si="0">SUM(M6:Q6)</f>
        <v>2322</v>
      </c>
      <c r="S6" s="680"/>
      <c r="T6" s="681">
        <v>0</v>
      </c>
      <c r="U6" s="732">
        <f>'ECM-1a Proj E3'!J6</f>
        <v>22613</v>
      </c>
      <c r="V6" s="733">
        <v>0</v>
      </c>
      <c r="W6" s="734">
        <f>'ECM-1a Proj E3'!K6</f>
        <v>3573</v>
      </c>
      <c r="X6" s="632">
        <v>6.16</v>
      </c>
    </row>
    <row r="7" spans="1:47" ht="54" customHeight="1" x14ac:dyDescent="0.2">
      <c r="A7" s="105" t="s">
        <v>48</v>
      </c>
      <c r="B7" s="5" t="s">
        <v>50</v>
      </c>
      <c r="C7" s="2" t="s">
        <v>89</v>
      </c>
      <c r="D7" s="5" t="s">
        <v>53</v>
      </c>
      <c r="E7" s="5" t="s">
        <v>49</v>
      </c>
      <c r="F7" s="5"/>
      <c r="G7" s="101"/>
      <c r="H7" s="5"/>
      <c r="I7" s="13"/>
      <c r="J7" s="13">
        <f>'ECM-1b Proj E2'!C5</f>
        <v>2</v>
      </c>
      <c r="K7" s="52">
        <f>'ECM-1b Proj E2'!E5</f>
        <v>234</v>
      </c>
      <c r="L7" s="50">
        <f>'ECM-1b Proj E2'!F5</f>
        <v>35</v>
      </c>
      <c r="M7" s="669">
        <f>J7*(K7+L7)</f>
        <v>538</v>
      </c>
      <c r="N7" s="106">
        <v>0</v>
      </c>
      <c r="O7" s="106">
        <v>0</v>
      </c>
      <c r="P7" s="106">
        <f>M7*P5</f>
        <v>43.04</v>
      </c>
      <c r="Q7" s="670">
        <v>0</v>
      </c>
      <c r="R7" s="107">
        <f t="shared" si="0"/>
        <v>581.04</v>
      </c>
      <c r="S7" s="107"/>
      <c r="T7" s="676">
        <f>'ECM-1b Proj E2'!I5</f>
        <v>0</v>
      </c>
      <c r="U7" s="732">
        <f>'ECM-1b Proj E2'!K5</f>
        <v>4414</v>
      </c>
      <c r="V7" s="735"/>
      <c r="W7" s="731">
        <f>'ECM-1b Proj E2'!M5</f>
        <v>697</v>
      </c>
      <c r="X7" s="349">
        <v>4.82</v>
      </c>
      <c r="Z7" s="100" t="s">
        <v>726</v>
      </c>
    </row>
    <row r="8" spans="1:47" ht="65.45" customHeight="1" x14ac:dyDescent="0.2">
      <c r="A8" s="105" t="s">
        <v>55</v>
      </c>
      <c r="B8" s="5" t="s">
        <v>56</v>
      </c>
      <c r="C8" s="2" t="s">
        <v>89</v>
      </c>
      <c r="D8" s="5" t="s">
        <v>57</v>
      </c>
      <c r="E8" s="5"/>
      <c r="F8" s="5" t="s">
        <v>58</v>
      </c>
      <c r="G8" s="101"/>
      <c r="H8" s="5"/>
      <c r="I8" s="13"/>
      <c r="J8" s="13">
        <f>'ECM-1c Proj E1'!C12</f>
        <v>1</v>
      </c>
      <c r="K8" s="668">
        <f>'ECM-1c Proj E1'!G12</f>
        <v>285</v>
      </c>
      <c r="L8" s="50"/>
      <c r="M8" s="669">
        <f>(K8+L8)*J8</f>
        <v>285</v>
      </c>
      <c r="N8" s="106">
        <v>0</v>
      </c>
      <c r="O8" s="109">
        <v>0</v>
      </c>
      <c r="P8" s="109">
        <v>0</v>
      </c>
      <c r="Q8" s="109">
        <v>0</v>
      </c>
      <c r="R8" s="107">
        <f t="shared" si="0"/>
        <v>285</v>
      </c>
      <c r="S8" s="107"/>
      <c r="T8" s="676">
        <v>0</v>
      </c>
      <c r="U8" s="732">
        <f>'ECM-1c Proj E1'!L13</f>
        <v>1533</v>
      </c>
      <c r="V8" s="736"/>
      <c r="W8" s="731">
        <f>'ECM-1c Proj E1'!N12</f>
        <v>242</v>
      </c>
      <c r="X8" s="632">
        <v>4.2699999999999996</v>
      </c>
      <c r="Z8" s="100"/>
    </row>
    <row r="9" spans="1:47" s="433" customFormat="1" ht="9" customHeight="1" x14ac:dyDescent="0.2">
      <c r="A9" s="510"/>
      <c r="B9" s="511"/>
      <c r="C9" s="511"/>
      <c r="D9" s="511"/>
      <c r="E9" s="511"/>
      <c r="F9" s="511"/>
      <c r="G9" s="539"/>
      <c r="H9" s="511"/>
      <c r="I9" s="513"/>
      <c r="J9" s="513"/>
      <c r="K9" s="544"/>
      <c r="L9" s="516"/>
      <c r="M9" s="523"/>
      <c r="N9" s="517"/>
      <c r="O9" s="518"/>
      <c r="P9" s="518"/>
      <c r="Q9" s="518"/>
      <c r="R9" s="522"/>
      <c r="S9" s="522"/>
      <c r="T9" s="542"/>
      <c r="U9" s="521"/>
      <c r="V9" s="545"/>
      <c r="W9" s="519"/>
      <c r="X9" s="524"/>
    </row>
    <row r="10" spans="1:47" ht="92.45" customHeight="1" x14ac:dyDescent="0.2">
      <c r="A10" s="105">
        <v>2</v>
      </c>
      <c r="B10" s="5" t="s">
        <v>745</v>
      </c>
      <c r="C10" s="2" t="s">
        <v>89</v>
      </c>
      <c r="D10" s="5" t="s">
        <v>791</v>
      </c>
      <c r="E10" s="5" t="s">
        <v>61</v>
      </c>
      <c r="F10" s="5" t="s">
        <v>797</v>
      </c>
      <c r="G10" s="101"/>
      <c r="H10" s="5"/>
      <c r="I10" s="13"/>
      <c r="J10" s="13">
        <f>'ECM-2 Proj M5'!B57</f>
        <v>25</v>
      </c>
      <c r="K10" s="668">
        <f>'ECM-2 Proj M5'!J65</f>
        <v>329.14499999999998</v>
      </c>
      <c r="L10" s="716" t="s">
        <v>748</v>
      </c>
      <c r="M10" s="669">
        <f t="shared" ref="M10:M18" si="1">J10*K10</f>
        <v>8228.625</v>
      </c>
      <c r="N10" s="622">
        <v>0</v>
      </c>
      <c r="O10" s="107">
        <f>M10*10%</f>
        <v>822.86250000000007</v>
      </c>
      <c r="P10" s="106">
        <f>M10*P5</f>
        <v>658.29</v>
      </c>
      <c r="Q10" s="107"/>
      <c r="R10" s="107">
        <f t="shared" si="0"/>
        <v>9709.7775000000001</v>
      </c>
      <c r="S10" s="107"/>
      <c r="T10" s="676">
        <v>0</v>
      </c>
      <c r="U10" s="566">
        <f>'ECM-2 Proj M5'!V64</f>
        <v>7944</v>
      </c>
      <c r="V10" s="108">
        <f>'ECM-2 Proj M5'!W64</f>
        <v>901</v>
      </c>
      <c r="W10" s="113">
        <f>'ECM-2 Proj M5'!X64</f>
        <v>1654.2949999999983</v>
      </c>
      <c r="X10" s="328">
        <v>2.65</v>
      </c>
    </row>
    <row r="11" spans="1:47" s="433" customFormat="1" ht="8.25" customHeight="1" x14ac:dyDescent="0.2">
      <c r="A11" s="510"/>
      <c r="B11" s="511"/>
      <c r="C11" s="511"/>
      <c r="D11" s="511"/>
      <c r="E11" s="511"/>
      <c r="F11" s="511"/>
      <c r="G11" s="539"/>
      <c r="H11" s="511"/>
      <c r="I11" s="513"/>
      <c r="J11" s="513"/>
      <c r="K11" s="540"/>
      <c r="L11" s="515"/>
      <c r="M11" s="523"/>
      <c r="N11" s="541"/>
      <c r="O11" s="517"/>
      <c r="P11" s="517"/>
      <c r="Q11" s="517"/>
      <c r="R11" s="522"/>
      <c r="S11" s="522"/>
      <c r="T11" s="542"/>
      <c r="U11" s="521"/>
      <c r="V11" s="543"/>
      <c r="W11" s="518"/>
      <c r="X11" s="524"/>
    </row>
    <row r="12" spans="1:47" s="120" customFormat="1" ht="58.15" customHeight="1" x14ac:dyDescent="0.25">
      <c r="A12" s="114" t="s">
        <v>62</v>
      </c>
      <c r="B12" s="115" t="s">
        <v>64</v>
      </c>
      <c r="C12" s="2" t="s">
        <v>89</v>
      </c>
      <c r="D12" s="115" t="s">
        <v>733</v>
      </c>
      <c r="E12" s="749" t="s">
        <v>741</v>
      </c>
      <c r="F12" s="229" t="s">
        <v>190</v>
      </c>
      <c r="G12" s="116"/>
      <c r="H12" s="115"/>
      <c r="I12" s="117"/>
      <c r="J12" s="117">
        <f>'ECM-3 Proj L-6a'!V10</f>
        <v>20</v>
      </c>
      <c r="K12" s="711">
        <f>'ECM-3 Proj L-6a'!AA10</f>
        <v>419</v>
      </c>
      <c r="L12" s="202" t="s">
        <v>189</v>
      </c>
      <c r="M12" s="710">
        <f t="shared" si="1"/>
        <v>8380</v>
      </c>
      <c r="N12" s="118">
        <f>M12*10%</f>
        <v>838</v>
      </c>
      <c r="O12" s="118">
        <f>M12*10%</f>
        <v>838</v>
      </c>
      <c r="P12" s="106">
        <f>M12*P5</f>
        <v>670.4</v>
      </c>
      <c r="Q12" s="109">
        <v>0</v>
      </c>
      <c r="R12" s="118">
        <f t="shared" si="0"/>
        <v>10726.4</v>
      </c>
      <c r="S12" s="118"/>
      <c r="T12" s="691">
        <v>0</v>
      </c>
      <c r="U12" s="566">
        <f>'ECM-3 Proj L-6a'!AI10</f>
        <v>5329</v>
      </c>
      <c r="V12" s="119"/>
      <c r="W12" s="675">
        <f>'ECM-3 Proj L-6a'!AJ10</f>
        <v>841.98199999999997</v>
      </c>
      <c r="X12" s="328">
        <v>1.35</v>
      </c>
    </row>
    <row r="13" spans="1:47" s="120" customFormat="1" ht="58.15" customHeight="1" x14ac:dyDescent="0.25">
      <c r="A13" s="114" t="s">
        <v>63</v>
      </c>
      <c r="B13" s="115" t="s">
        <v>65</v>
      </c>
      <c r="C13" s="2" t="s">
        <v>89</v>
      </c>
      <c r="D13" s="115" t="s">
        <v>195</v>
      </c>
      <c r="E13" s="749" t="s">
        <v>741</v>
      </c>
      <c r="F13" s="229" t="s">
        <v>190</v>
      </c>
      <c r="G13" s="116"/>
      <c r="H13" s="115"/>
      <c r="I13" s="117"/>
      <c r="J13" s="117">
        <f>'ECM-3 Proj L-6a'!V11</f>
        <v>8</v>
      </c>
      <c r="K13" s="711">
        <f>'ECM-3 Proj L-6a'!AA11</f>
        <v>675</v>
      </c>
      <c r="L13" s="202" t="s">
        <v>189</v>
      </c>
      <c r="M13" s="710">
        <f t="shared" si="1"/>
        <v>5400</v>
      </c>
      <c r="N13" s="118">
        <f>M13*10%</f>
        <v>540</v>
      </c>
      <c r="O13" s="118">
        <f>M13*10%</f>
        <v>540</v>
      </c>
      <c r="P13" s="106">
        <f>M13*P5</f>
        <v>432</v>
      </c>
      <c r="Q13" s="109">
        <v>0</v>
      </c>
      <c r="R13" s="118">
        <f t="shared" si="0"/>
        <v>6912</v>
      </c>
      <c r="S13" s="118"/>
      <c r="T13" s="692">
        <v>0</v>
      </c>
      <c r="U13" s="566">
        <f>'ECM-3 Proj L-6a'!AI11</f>
        <v>5011</v>
      </c>
      <c r="V13" s="119"/>
      <c r="W13" s="675">
        <f>'ECM-3 Proj L-6a'!AJ11</f>
        <v>791.73800000000006</v>
      </c>
      <c r="X13" s="350">
        <v>1.86</v>
      </c>
    </row>
    <row r="14" spans="1:47" s="336" customFormat="1" ht="58.15" customHeight="1" x14ac:dyDescent="0.2">
      <c r="A14" s="114" t="s">
        <v>66</v>
      </c>
      <c r="B14" s="115" t="s">
        <v>67</v>
      </c>
      <c r="C14" s="5" t="s">
        <v>89</v>
      </c>
      <c r="D14" s="115" t="s">
        <v>68</v>
      </c>
      <c r="E14" s="749" t="s">
        <v>741</v>
      </c>
      <c r="F14" s="115" t="s">
        <v>740</v>
      </c>
      <c r="G14" s="116"/>
      <c r="H14" s="115"/>
      <c r="I14" s="117"/>
      <c r="J14" s="117">
        <f>'ECM-3 Proj L-6a'!G21</f>
        <v>28</v>
      </c>
      <c r="K14" s="711">
        <f>'ECM-3 Proj L-6a'!H21</f>
        <v>111</v>
      </c>
      <c r="L14" s="202" t="s">
        <v>271</v>
      </c>
      <c r="M14" s="710">
        <f t="shared" si="1"/>
        <v>3108</v>
      </c>
      <c r="N14" s="118">
        <v>0</v>
      </c>
      <c r="O14" s="118">
        <v>0</v>
      </c>
      <c r="P14" s="118">
        <v>0</v>
      </c>
      <c r="Q14" s="693">
        <v>0</v>
      </c>
      <c r="R14" s="118">
        <f t="shared" ref="R14:R20" si="2">SUM(M14:Q14)</f>
        <v>3108</v>
      </c>
      <c r="S14" s="118"/>
      <c r="T14" s="694">
        <v>0</v>
      </c>
      <c r="U14" s="695">
        <f>'ECM-3 Proj L-6a'!K21</f>
        <v>2487.3417721518986</v>
      </c>
      <c r="V14" s="119"/>
      <c r="W14" s="675">
        <f>'ECM-3 Proj L-6a'!I21</f>
        <v>393</v>
      </c>
      <c r="X14" s="350">
        <v>1.1299999999999999</v>
      </c>
      <c r="Y14" s="332"/>
    </row>
    <row r="15" spans="1:47" s="336" customFormat="1" ht="8.25" customHeight="1" x14ac:dyDescent="0.2">
      <c r="A15" s="525"/>
      <c r="B15" s="526"/>
      <c r="C15" s="511"/>
      <c r="D15" s="526"/>
      <c r="E15" s="527"/>
      <c r="F15" s="526"/>
      <c r="G15" s="528"/>
      <c r="H15" s="526"/>
      <c r="I15" s="470"/>
      <c r="J15" s="470"/>
      <c r="K15" s="529"/>
      <c r="L15" s="515"/>
      <c r="M15" s="530"/>
      <c r="N15" s="531"/>
      <c r="O15" s="531"/>
      <c r="P15" s="531"/>
      <c r="Q15" s="532"/>
      <c r="R15" s="533"/>
      <c r="S15" s="533"/>
      <c r="T15" s="534"/>
      <c r="U15" s="535"/>
      <c r="V15" s="536"/>
      <c r="W15" s="537"/>
      <c r="X15" s="524"/>
      <c r="Y15" s="332"/>
    </row>
    <row r="16" spans="1:47" s="336" customFormat="1" ht="58.15" customHeight="1" x14ac:dyDescent="0.2">
      <c r="A16" s="105" t="s">
        <v>72</v>
      </c>
      <c r="B16" s="228" t="s">
        <v>73</v>
      </c>
      <c r="C16" s="5" t="s">
        <v>89</v>
      </c>
      <c r="D16" s="5" t="s">
        <v>197</v>
      </c>
      <c r="E16" s="228" t="s">
        <v>730</v>
      </c>
      <c r="F16" s="228" t="s">
        <v>731</v>
      </c>
      <c r="G16" s="227"/>
      <c r="H16" s="228"/>
      <c r="I16" s="231"/>
      <c r="J16" s="706">
        <v>1340</v>
      </c>
      <c r="K16" s="672">
        <f>'ECM-4 Proj L1'!J15</f>
        <v>17.75</v>
      </c>
      <c r="L16" s="630" t="s">
        <v>219</v>
      </c>
      <c r="M16" s="631">
        <f t="shared" si="1"/>
        <v>23785</v>
      </c>
      <c r="N16" s="620">
        <v>0</v>
      </c>
      <c r="O16" s="620">
        <v>0</v>
      </c>
      <c r="P16" s="106">
        <f>M16*P5</f>
        <v>1902.8</v>
      </c>
      <c r="Q16" s="622">
        <v>0</v>
      </c>
      <c r="R16" s="854">
        <f>M16+N16+O16+P16+Q16+M17+N17+O17+P17+Q17</f>
        <v>30849.119999999999</v>
      </c>
      <c r="S16" s="859"/>
      <c r="T16" s="863">
        <v>0</v>
      </c>
      <c r="U16" s="865">
        <v>43707</v>
      </c>
      <c r="V16" s="868">
        <v>0</v>
      </c>
      <c r="W16" s="852">
        <v>8050</v>
      </c>
      <c r="X16" s="836">
        <v>3.92</v>
      </c>
      <c r="Y16" s="564"/>
    </row>
    <row r="17" spans="1:46" s="336" customFormat="1" ht="58.15" customHeight="1" x14ac:dyDescent="0.2">
      <c r="A17" s="105" t="s">
        <v>196</v>
      </c>
      <c r="B17" s="228" t="s">
        <v>73</v>
      </c>
      <c r="C17" s="5" t="s">
        <v>89</v>
      </c>
      <c r="D17" s="228" t="s">
        <v>198</v>
      </c>
      <c r="E17" s="228" t="s">
        <v>732</v>
      </c>
      <c r="F17" s="228" t="s">
        <v>790</v>
      </c>
      <c r="G17" s="227"/>
      <c r="H17" s="228"/>
      <c r="I17" s="231"/>
      <c r="J17" s="613">
        <f>'ECM-4 Proj L1'!J25</f>
        <v>177</v>
      </c>
      <c r="K17" s="672">
        <f>'ECM-4 Proj L1'!J29</f>
        <v>27</v>
      </c>
      <c r="L17" s="630" t="s">
        <v>219</v>
      </c>
      <c r="M17" s="631">
        <f t="shared" si="1"/>
        <v>4779</v>
      </c>
      <c r="N17" s="620">
        <v>0</v>
      </c>
      <c r="O17" s="620">
        <v>0</v>
      </c>
      <c r="P17" s="106">
        <f>M17*P5</f>
        <v>382.32</v>
      </c>
      <c r="Q17" s="622">
        <v>0</v>
      </c>
      <c r="R17" s="855"/>
      <c r="S17" s="860"/>
      <c r="T17" s="864"/>
      <c r="U17" s="866"/>
      <c r="V17" s="869"/>
      <c r="W17" s="853"/>
      <c r="X17" s="837"/>
      <c r="Y17" s="332"/>
    </row>
    <row r="18" spans="1:46" s="433" customFormat="1" ht="71.45" customHeight="1" x14ac:dyDescent="0.2">
      <c r="A18" s="105" t="s">
        <v>638</v>
      </c>
      <c r="B18" s="228" t="s">
        <v>639</v>
      </c>
      <c r="C18" s="5" t="s">
        <v>89</v>
      </c>
      <c r="D18" s="228" t="s">
        <v>640</v>
      </c>
      <c r="E18" s="228" t="s">
        <v>736</v>
      </c>
      <c r="F18" s="228" t="s">
        <v>737</v>
      </c>
      <c r="G18" s="228"/>
      <c r="H18" s="434" t="s">
        <v>642</v>
      </c>
      <c r="I18" s="228"/>
      <c r="J18" s="613">
        <f>'ECM-4 Proj L1'!J44</f>
        <v>20</v>
      </c>
      <c r="K18" s="712">
        <f>'ECM-4 Proj L1'!J47</f>
        <v>143</v>
      </c>
      <c r="L18" s="630" t="s">
        <v>641</v>
      </c>
      <c r="M18" s="631">
        <f t="shared" si="1"/>
        <v>2860</v>
      </c>
      <c r="N18" s="617">
        <v>0</v>
      </c>
      <c r="O18" s="620">
        <v>0</v>
      </c>
      <c r="P18" s="622">
        <v>0</v>
      </c>
      <c r="Q18" s="622">
        <v>0</v>
      </c>
      <c r="R18" s="626">
        <f t="shared" si="2"/>
        <v>2860</v>
      </c>
      <c r="S18" s="622"/>
      <c r="T18" s="671">
        <v>1000</v>
      </c>
      <c r="U18" s="695">
        <f>'ECM-4 Proj L1'!J49</f>
        <v>1540</v>
      </c>
      <c r="V18" s="621"/>
      <c r="W18" s="631">
        <f>'ECM-4 Proj L1'!J50</f>
        <v>243.32</v>
      </c>
      <c r="X18" s="328">
        <v>2.2799999999999998</v>
      </c>
      <c r="Y18" s="319"/>
      <c r="Z18" s="867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</row>
    <row r="19" spans="1:46" s="433" customFormat="1" ht="8.25" customHeight="1" x14ac:dyDescent="0.2">
      <c r="A19" s="510"/>
      <c r="B19" s="511"/>
      <c r="C19" s="511"/>
      <c r="D19" s="511"/>
      <c r="E19" s="511"/>
      <c r="F19" s="511"/>
      <c r="G19" s="511"/>
      <c r="H19" s="512"/>
      <c r="I19" s="511"/>
      <c r="J19" s="513"/>
      <c r="K19" s="514"/>
      <c r="L19" s="515"/>
      <c r="M19" s="516"/>
      <c r="N19" s="516"/>
      <c r="O19" s="517"/>
      <c r="P19" s="518"/>
      <c r="Q19" s="518"/>
      <c r="R19" s="519"/>
      <c r="S19" s="518"/>
      <c r="T19" s="520"/>
      <c r="U19" s="521"/>
      <c r="V19" s="522"/>
      <c r="W19" s="523"/>
      <c r="X19" s="524"/>
      <c r="Y19" s="319"/>
      <c r="Z19" s="867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51" x14ac:dyDescent="0.2">
      <c r="A20" s="105" t="s">
        <v>80</v>
      </c>
      <c r="B20" s="5" t="s">
        <v>79</v>
      </c>
      <c r="C20" s="2" t="s">
        <v>89</v>
      </c>
      <c r="D20" s="5" t="s">
        <v>83</v>
      </c>
      <c r="E20" s="5" t="s">
        <v>750</v>
      </c>
      <c r="F20" s="5" t="s">
        <v>711</v>
      </c>
      <c r="G20" s="5"/>
      <c r="H20" s="110"/>
      <c r="I20" s="5"/>
      <c r="J20" s="667">
        <v>5</v>
      </c>
      <c r="K20" s="668">
        <f>'ECM-5 Proj M1a '!H28</f>
        <v>5992.0000000000009</v>
      </c>
      <c r="L20" s="668">
        <v>3500</v>
      </c>
      <c r="M20" s="669">
        <f>J20*(K20+L20)</f>
        <v>47460</v>
      </c>
      <c r="N20" s="669">
        <f>M20*N5</f>
        <v>4746</v>
      </c>
      <c r="O20" s="107">
        <f>M20*O5</f>
        <v>4746</v>
      </c>
      <c r="P20" s="113">
        <f>M20*P5</f>
        <v>3796.8</v>
      </c>
      <c r="Q20" s="113">
        <f>M20*1.5%</f>
        <v>711.9</v>
      </c>
      <c r="R20" s="113">
        <f t="shared" si="2"/>
        <v>61460.700000000004</v>
      </c>
      <c r="S20" s="113"/>
      <c r="T20" s="627">
        <v>0</v>
      </c>
      <c r="U20" s="566">
        <f>'ECM-5 Proj M1a '!F29</f>
        <v>21315</v>
      </c>
      <c r="V20" s="696">
        <f>'ECM-5 Proj M1a '!G29</f>
        <v>0</v>
      </c>
      <c r="W20" s="669">
        <f>'ECM-5 Proj M1a '!J29</f>
        <v>3367.77</v>
      </c>
      <c r="X20" s="697">
        <v>1.02</v>
      </c>
      <c r="Y20" s="319"/>
      <c r="Z20" s="867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s="433" customFormat="1" ht="51" x14ac:dyDescent="0.2">
      <c r="A21" s="111" t="s">
        <v>82</v>
      </c>
      <c r="B21" s="5" t="s">
        <v>79</v>
      </c>
      <c r="C21" s="2" t="s">
        <v>89</v>
      </c>
      <c r="D21" s="5" t="s">
        <v>84</v>
      </c>
      <c r="E21" s="102" t="s">
        <v>714</v>
      </c>
      <c r="F21" s="102" t="s">
        <v>713</v>
      </c>
      <c r="G21" s="102"/>
      <c r="H21" s="112"/>
      <c r="I21" s="102"/>
      <c r="J21" s="682">
        <f>'ECM-5 Proj M1a '!E60</f>
        <v>2</v>
      </c>
      <c r="K21" s="683">
        <f>'ECM-5 Proj M1a '!H60</f>
        <v>8391.0400000000009</v>
      </c>
      <c r="L21" s="683">
        <v>3500</v>
      </c>
      <c r="M21" s="669">
        <f>J21*(K21+L21)</f>
        <v>23782.080000000002</v>
      </c>
      <c r="N21" s="669">
        <f>M21*N5</f>
        <v>2378.2080000000001</v>
      </c>
      <c r="O21" s="107">
        <f>M21*N5</f>
        <v>2378.2080000000001</v>
      </c>
      <c r="P21" s="759">
        <f>M21*P5</f>
        <v>1902.5664000000002</v>
      </c>
      <c r="Q21" s="113">
        <f>M21*1.5%</f>
        <v>356.7312</v>
      </c>
      <c r="R21" s="631">
        <f>M21+N21+O21+P21+Q21</f>
        <v>30797.793599999997</v>
      </c>
      <c r="S21" s="758">
        <v>0</v>
      </c>
      <c r="T21" s="758">
        <v>0</v>
      </c>
      <c r="U21" s="762">
        <f>'ECM-5 Proj M1a '!F61</f>
        <v>5646</v>
      </c>
      <c r="V21" s="763">
        <f>'ECM-5 Proj M1a '!G61</f>
        <v>10</v>
      </c>
      <c r="W21" s="758">
        <f>'ECM-5 Proj M1a '!J61</f>
        <v>896.49799999999993</v>
      </c>
      <c r="X21" s="739">
        <v>0.66</v>
      </c>
      <c r="Y21" s="319"/>
      <c r="Z21" s="45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433" customFormat="1" ht="8.25" customHeight="1" x14ac:dyDescent="0.2">
      <c r="A22" s="498"/>
      <c r="B22" s="499"/>
      <c r="C22" s="499"/>
      <c r="D22" s="499"/>
      <c r="E22" s="499"/>
      <c r="F22" s="499"/>
      <c r="G22" s="499"/>
      <c r="H22" s="500"/>
      <c r="I22" s="499"/>
      <c r="J22" s="501"/>
      <c r="K22" s="502"/>
      <c r="L22" s="502"/>
      <c r="M22" s="503"/>
      <c r="N22" s="503"/>
      <c r="O22" s="504"/>
      <c r="P22" s="505"/>
      <c r="Q22" s="505"/>
      <c r="R22" s="505"/>
      <c r="S22" s="505"/>
      <c r="T22" s="506"/>
      <c r="U22" s="507"/>
      <c r="V22" s="508"/>
      <c r="W22" s="503"/>
      <c r="X22" s="509"/>
      <c r="Y22" s="319"/>
      <c r="Z22" s="45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1:46" ht="39.6" customHeight="1" x14ac:dyDescent="0.2">
      <c r="A23" s="111">
        <v>6</v>
      </c>
      <c r="B23" s="102" t="s">
        <v>269</v>
      </c>
      <c r="C23" s="102" t="s">
        <v>104</v>
      </c>
      <c r="D23" s="102" t="s">
        <v>646</v>
      </c>
      <c r="E23" s="102" t="s">
        <v>296</v>
      </c>
      <c r="F23" s="102" t="s">
        <v>798</v>
      </c>
      <c r="G23" s="102"/>
      <c r="H23" s="112"/>
      <c r="I23" s="102"/>
      <c r="J23" s="688">
        <f>'ECM 6'!C3</f>
        <v>19</v>
      </c>
      <c r="K23" s="683">
        <f>'ECM 6'!E3</f>
        <v>350</v>
      </c>
      <c r="L23" s="683" t="s">
        <v>749</v>
      </c>
      <c r="M23" s="684">
        <f>J23*K23</f>
        <v>6650</v>
      </c>
      <c r="N23" s="684">
        <v>0</v>
      </c>
      <c r="O23" s="625">
        <v>0</v>
      </c>
      <c r="P23" s="628">
        <f>'ECM 6'!G3</f>
        <v>100</v>
      </c>
      <c r="Q23" s="628">
        <v>0</v>
      </c>
      <c r="R23" s="628">
        <f>SUM(M23:Q23)</f>
        <v>6750</v>
      </c>
      <c r="S23" s="624"/>
      <c r="T23" s="698">
        <v>0</v>
      </c>
      <c r="U23" s="771">
        <v>1</v>
      </c>
      <c r="V23" s="625"/>
      <c r="W23" s="623">
        <f>U23*'Uti Rates &amp; Lighting Caps'!B5</f>
        <v>0.158</v>
      </c>
      <c r="X23" s="363">
        <v>0.31</v>
      </c>
      <c r="Y23" s="29"/>
      <c r="Z23" s="103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</row>
    <row r="24" spans="1:46" ht="26.45" customHeight="1" thickBot="1" x14ac:dyDescent="0.3">
      <c r="A24" s="71"/>
      <c r="B24" s="23"/>
      <c r="C24" s="23"/>
      <c r="D24" s="23"/>
      <c r="E24" s="23"/>
      <c r="F24" s="23"/>
      <c r="G24" s="24"/>
      <c r="H24" s="23"/>
      <c r="I24" s="28"/>
      <c r="J24" s="28"/>
      <c r="K24" s="23"/>
      <c r="L24" s="40"/>
      <c r="M24" s="727">
        <f t="shared" ref="M24:T24" si="3">SUM(M6:M23)</f>
        <v>137405.70500000002</v>
      </c>
      <c r="N24" s="727">
        <f t="shared" si="3"/>
        <v>8502.2080000000005</v>
      </c>
      <c r="O24" s="727">
        <f t="shared" si="3"/>
        <v>9325.0704999999998</v>
      </c>
      <c r="P24" s="727">
        <f t="shared" si="3"/>
        <v>10060.216399999999</v>
      </c>
      <c r="Q24" s="727">
        <f t="shared" si="3"/>
        <v>1068.6312</v>
      </c>
      <c r="R24" s="25">
        <f t="shared" si="3"/>
        <v>166361.83110000001</v>
      </c>
      <c r="S24" s="25">
        <f t="shared" si="3"/>
        <v>0</v>
      </c>
      <c r="T24" s="25">
        <f t="shared" si="3"/>
        <v>1000</v>
      </c>
      <c r="U24" s="131">
        <f t="shared" ref="U24:W24" si="4">SUM(U6:U23)</f>
        <v>121540.34177215191</v>
      </c>
      <c r="V24" s="131">
        <f t="shared" si="4"/>
        <v>911</v>
      </c>
      <c r="W24" s="25">
        <f t="shared" si="4"/>
        <v>20750.760999999999</v>
      </c>
      <c r="X24" s="88">
        <v>1.72</v>
      </c>
    </row>
    <row r="25" spans="1:46" s="8" customFormat="1" ht="7.5" customHeight="1" thickBot="1" x14ac:dyDescent="0.25">
      <c r="A25" s="97"/>
      <c r="B25" s="15"/>
      <c r="C25" s="7"/>
      <c r="D25" s="4"/>
      <c r="E25" s="4"/>
      <c r="F25" s="4"/>
      <c r="G25" s="6"/>
      <c r="I25" s="97"/>
      <c r="J25" s="97"/>
      <c r="O25" s="29"/>
      <c r="P25" s="29"/>
      <c r="U25" s="97"/>
      <c r="V25" s="97"/>
      <c r="X25" s="133"/>
    </row>
    <row r="26" spans="1:46" s="8" customFormat="1" x14ac:dyDescent="0.2">
      <c r="A26" s="97"/>
      <c r="C26" s="7"/>
      <c r="D26" s="7"/>
      <c r="E26" s="322" t="s">
        <v>266</v>
      </c>
      <c r="F26" s="327">
        <f>R24</f>
        <v>166361.83110000001</v>
      </c>
      <c r="G26" s="6"/>
      <c r="I26" s="97"/>
      <c r="J26" s="97"/>
      <c r="O26" s="29"/>
      <c r="P26" s="29"/>
      <c r="R26" s="838" t="s">
        <v>720</v>
      </c>
      <c r="S26" s="839"/>
      <c r="T26" s="839"/>
      <c r="U26" s="839"/>
      <c r="V26" s="840"/>
      <c r="X26" s="133"/>
    </row>
    <row r="27" spans="1:46" ht="25.5" x14ac:dyDescent="0.2">
      <c r="A27" s="97"/>
      <c r="C27" s="7"/>
      <c r="D27" s="7"/>
      <c r="E27" s="323" t="s">
        <v>756</v>
      </c>
      <c r="F27" s="324">
        <f>S24+T24</f>
        <v>1000</v>
      </c>
      <c r="G27" s="9"/>
      <c r="H27" s="4"/>
      <c r="I27" s="14"/>
      <c r="J27" s="14"/>
      <c r="K27" s="4"/>
      <c r="R27" s="657"/>
      <c r="S27" s="611"/>
      <c r="T27" s="553" t="s">
        <v>715</v>
      </c>
      <c r="U27" s="659">
        <v>533847</v>
      </c>
      <c r="V27" s="658"/>
    </row>
    <row r="28" spans="1:46" ht="13.5" thickBot="1" x14ac:dyDescent="0.25">
      <c r="D28" s="4"/>
      <c r="E28" s="325" t="s">
        <v>268</v>
      </c>
      <c r="F28" s="326">
        <f>F26-F27</f>
        <v>165361.83110000001</v>
      </c>
      <c r="R28" s="657"/>
      <c r="S28" s="611"/>
      <c r="T28" s="553" t="s">
        <v>722</v>
      </c>
      <c r="U28" s="555">
        <f>U27*15%</f>
        <v>80077.05</v>
      </c>
      <c r="V28" s="658"/>
    </row>
    <row r="29" spans="1:46" ht="13.5" thickBot="1" x14ac:dyDescent="0.25">
      <c r="R29" s="657"/>
      <c r="S29" s="611"/>
      <c r="T29" s="553" t="s">
        <v>723</v>
      </c>
      <c r="U29" s="554">
        <f>U12+U13+U16++U18</f>
        <v>55587</v>
      </c>
      <c r="V29" s="658"/>
    </row>
    <row r="30" spans="1:46" s="341" customFormat="1" ht="13.5" thickTop="1" x14ac:dyDescent="0.2">
      <c r="A30" s="340"/>
      <c r="B30" s="339"/>
      <c r="C30" s="339"/>
      <c r="D30" s="339"/>
      <c r="E30" s="339"/>
      <c r="F30" s="339"/>
      <c r="G30" s="3"/>
      <c r="I30" s="340"/>
      <c r="J30" s="340"/>
      <c r="O30" s="41"/>
      <c r="P30" s="41"/>
      <c r="R30" s="660"/>
      <c r="S30" s="661"/>
      <c r="T30" s="556" t="s">
        <v>101</v>
      </c>
      <c r="U30" s="557">
        <f>U28-U29</f>
        <v>24490.050000000003</v>
      </c>
      <c r="V30" s="662"/>
      <c r="X30" s="340"/>
    </row>
    <row r="31" spans="1:46" s="608" customFormat="1" ht="8.25" customHeight="1" x14ac:dyDescent="0.2">
      <c r="A31" s="615"/>
      <c r="C31" s="609"/>
      <c r="D31" s="609"/>
      <c r="E31" s="609"/>
      <c r="F31" s="609"/>
      <c r="G31" s="610"/>
      <c r="I31" s="615"/>
      <c r="J31" s="615"/>
      <c r="O31" s="616"/>
      <c r="P31" s="616"/>
      <c r="R31" s="666"/>
      <c r="S31" s="629"/>
      <c r="T31" s="633"/>
      <c r="U31" s="615"/>
      <c r="V31" s="666"/>
      <c r="X31" s="615"/>
    </row>
    <row r="32" spans="1:46" s="608" customFormat="1" x14ac:dyDescent="0.2">
      <c r="A32" s="615"/>
      <c r="C32" s="609"/>
      <c r="D32" s="609"/>
      <c r="E32" s="609"/>
      <c r="F32" s="609"/>
      <c r="G32" s="610"/>
      <c r="I32" s="615"/>
      <c r="J32" s="615"/>
      <c r="O32" s="616"/>
      <c r="P32" s="616"/>
      <c r="R32" s="838" t="s">
        <v>721</v>
      </c>
      <c r="S32" s="839"/>
      <c r="T32" s="839"/>
      <c r="U32" s="839"/>
      <c r="V32" s="840"/>
      <c r="X32" s="615"/>
    </row>
    <row r="33" spans="1:26" s="341" customFormat="1" x14ac:dyDescent="0.2">
      <c r="A33" s="340"/>
      <c r="C33" s="339"/>
      <c r="D33" s="339"/>
      <c r="E33" s="339"/>
      <c r="F33" s="339"/>
      <c r="G33" s="3"/>
      <c r="I33" s="340"/>
      <c r="J33" s="340"/>
      <c r="O33" s="41"/>
      <c r="P33" s="41"/>
      <c r="R33" s="657"/>
      <c r="S33" s="611"/>
      <c r="T33" s="553" t="s">
        <v>715</v>
      </c>
      <c r="U33" s="659">
        <v>533847</v>
      </c>
      <c r="V33" s="658"/>
      <c r="X33" s="340"/>
    </row>
    <row r="34" spans="1:26" s="341" customFormat="1" x14ac:dyDescent="0.2">
      <c r="A34" s="340"/>
      <c r="B34" s="1"/>
      <c r="C34" s="339"/>
      <c r="D34" s="339"/>
      <c r="E34" s="339"/>
      <c r="F34" s="339"/>
      <c r="G34" s="3"/>
      <c r="I34" s="340"/>
      <c r="J34" s="340"/>
      <c r="O34" s="41"/>
      <c r="P34" s="41"/>
      <c r="R34" s="657"/>
      <c r="S34" s="611"/>
      <c r="T34" s="553" t="s">
        <v>729</v>
      </c>
      <c r="U34" s="555">
        <f>U33*25%</f>
        <v>133461.75</v>
      </c>
      <c r="V34" s="658"/>
      <c r="X34" s="340"/>
    </row>
    <row r="35" spans="1:26" ht="13.5" thickBot="1" x14ac:dyDescent="0.25">
      <c r="R35" s="657"/>
      <c r="S35" s="611"/>
      <c r="T35" s="553" t="s">
        <v>717</v>
      </c>
      <c r="U35" s="554">
        <f>SUM(U20:U21)</f>
        <v>26961</v>
      </c>
      <c r="V35" s="658"/>
    </row>
    <row r="36" spans="1:26" ht="13.5" thickTop="1" x14ac:dyDescent="0.2">
      <c r="R36" s="660"/>
      <c r="S36" s="661"/>
      <c r="T36" s="556" t="s">
        <v>101</v>
      </c>
      <c r="U36" s="557">
        <f>U34-U35</f>
        <v>106500.75</v>
      </c>
      <c r="V36" s="662"/>
    </row>
    <row r="37" spans="1:26" ht="8.25" customHeight="1" x14ac:dyDescent="0.2">
      <c r="R37" s="666"/>
      <c r="S37" s="666"/>
      <c r="T37" s="615"/>
      <c r="U37" s="615"/>
      <c r="V37" s="666"/>
    </row>
    <row r="38" spans="1:26" ht="12" customHeight="1" x14ac:dyDescent="0.2">
      <c r="R38" s="838" t="s">
        <v>716</v>
      </c>
      <c r="S38" s="839"/>
      <c r="T38" s="839"/>
      <c r="U38" s="839"/>
      <c r="V38" s="840"/>
    </row>
    <row r="39" spans="1:26" x14ac:dyDescent="0.2">
      <c r="R39" s="657"/>
      <c r="S39" s="611"/>
      <c r="T39" s="553" t="s">
        <v>715</v>
      </c>
      <c r="U39" s="659">
        <v>533847</v>
      </c>
      <c r="V39" s="658"/>
    </row>
    <row r="40" spans="1:26" x14ac:dyDescent="0.2">
      <c r="R40" s="657"/>
      <c r="S40" s="611"/>
      <c r="T40" s="553" t="s">
        <v>718</v>
      </c>
      <c r="U40" s="555">
        <f>U39*5%</f>
        <v>26692.350000000002</v>
      </c>
      <c r="V40" s="658"/>
    </row>
    <row r="41" spans="1:26" ht="13.5" thickBot="1" x14ac:dyDescent="0.25">
      <c r="R41" s="657"/>
      <c r="S41" s="611"/>
      <c r="T41" s="553" t="s">
        <v>719</v>
      </c>
      <c r="U41" s="554">
        <f>U6+U8</f>
        <v>24146</v>
      </c>
      <c r="V41" s="658"/>
      <c r="Z41" s="158"/>
    </row>
    <row r="42" spans="1:26" ht="13.5" thickTop="1" x14ac:dyDescent="0.2">
      <c r="R42" s="660"/>
      <c r="S42" s="661"/>
      <c r="T42" s="556" t="s">
        <v>101</v>
      </c>
      <c r="U42" s="557">
        <f>U40-U41</f>
        <v>2546.3500000000022</v>
      </c>
      <c r="V42" s="662"/>
    </row>
  </sheetData>
  <mergeCells count="15">
    <mergeCell ref="A1:J1"/>
    <mergeCell ref="A2:D2"/>
    <mergeCell ref="A3:D3"/>
    <mergeCell ref="E3:H3"/>
    <mergeCell ref="R26:V26"/>
    <mergeCell ref="R32:V32"/>
    <mergeCell ref="R38:V38"/>
    <mergeCell ref="Z18:Z20"/>
    <mergeCell ref="X16:X17"/>
    <mergeCell ref="W16:W17"/>
    <mergeCell ref="V16:V17"/>
    <mergeCell ref="U16:U17"/>
    <mergeCell ref="T16:T17"/>
    <mergeCell ref="S16:S17"/>
    <mergeCell ref="R16:R17"/>
  </mergeCells>
  <printOptions horizontalCentered="1" verticalCentered="1"/>
  <pageMargins left="0.75" right="0.75" top="1" bottom="1" header="0.5" footer="0.5"/>
  <pageSetup paperSize="3" scale="60" orientation="landscape" r:id="rId1"/>
  <headerFooter>
    <oddFooter>&amp;L&amp;D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57"/>
  <sheetViews>
    <sheetView zoomScale="85" zoomScaleNormal="85" zoomScalePageLayoutView="118" workbookViewId="0">
      <selection activeCell="F3" sqref="F3"/>
    </sheetView>
  </sheetViews>
  <sheetFormatPr defaultColWidth="8.7109375" defaultRowHeight="12.75" x14ac:dyDescent="0.2"/>
  <cols>
    <col min="1" max="1" width="3.5703125" style="773" customWidth="1"/>
    <col min="2" max="2" width="60.85546875" style="773" customWidth="1"/>
    <col min="3" max="4" width="14.7109375" style="773" customWidth="1"/>
    <col min="5" max="9" width="13.28515625" style="773" customWidth="1"/>
    <col min="10" max="10" width="15.28515625" style="773" customWidth="1"/>
    <col min="11" max="11" width="12.140625" style="773" bestFit="1" customWidth="1"/>
    <col min="12" max="13" width="8.7109375" style="773"/>
    <col min="14" max="14" width="8.85546875" style="773" customWidth="1"/>
    <col min="15" max="16384" width="8.7109375" style="773"/>
  </cols>
  <sheetData>
    <row r="1" spans="1:10" ht="20.25" x14ac:dyDescent="0.3">
      <c r="A1" s="772" t="s">
        <v>761</v>
      </c>
    </row>
    <row r="2" spans="1:10" ht="18" x14ac:dyDescent="0.25">
      <c r="A2" s="774" t="s">
        <v>762</v>
      </c>
    </row>
    <row r="3" spans="1:10" ht="18" x14ac:dyDescent="0.25">
      <c r="A3" s="774" t="s">
        <v>763</v>
      </c>
    </row>
    <row r="5" spans="1:10" ht="15" x14ac:dyDescent="0.25">
      <c r="C5" s="775"/>
      <c r="D5" s="775"/>
      <c r="E5" s="776"/>
      <c r="F5" s="775"/>
      <c r="G5" s="777"/>
      <c r="H5" s="775"/>
      <c r="I5" s="775"/>
    </row>
    <row r="6" spans="1:10" ht="15.95" customHeight="1" x14ac:dyDescent="0.2">
      <c r="B6" s="775"/>
      <c r="C6" s="778" t="s">
        <v>764</v>
      </c>
      <c r="D6" s="778" t="s">
        <v>765</v>
      </c>
      <c r="E6" s="778" t="s">
        <v>766</v>
      </c>
      <c r="F6" s="778" t="s">
        <v>767</v>
      </c>
      <c r="G6" s="778" t="s">
        <v>768</v>
      </c>
      <c r="H6" s="870" t="s">
        <v>12</v>
      </c>
      <c r="J6" s="775"/>
    </row>
    <row r="7" spans="1:10" ht="38.25" customHeight="1" x14ac:dyDescent="0.2">
      <c r="B7" s="775"/>
      <c r="C7" s="779" t="s">
        <v>769</v>
      </c>
      <c r="D7" s="779" t="s">
        <v>770</v>
      </c>
      <c r="E7" s="779" t="s">
        <v>771</v>
      </c>
      <c r="F7" s="779" t="s">
        <v>772</v>
      </c>
      <c r="G7" s="779" t="s">
        <v>773</v>
      </c>
      <c r="H7" s="871"/>
      <c r="I7" s="773" t="s">
        <v>774</v>
      </c>
      <c r="J7" s="780"/>
    </row>
    <row r="8" spans="1:10" ht="15.75" x14ac:dyDescent="0.25">
      <c r="A8" s="781" t="s">
        <v>775</v>
      </c>
      <c r="C8" s="782">
        <v>112836</v>
      </c>
      <c r="D8" s="782">
        <v>111253</v>
      </c>
      <c r="E8" s="782">
        <v>112836</v>
      </c>
      <c r="F8" s="782">
        <v>112836</v>
      </c>
      <c r="G8" s="782">
        <v>112836</v>
      </c>
      <c r="H8" s="783">
        <f>SUM(C8:G8)</f>
        <v>562597</v>
      </c>
      <c r="J8" s="784"/>
    </row>
    <row r="9" spans="1:10" ht="15.75" x14ac:dyDescent="0.25">
      <c r="A9" s="785"/>
      <c r="C9" s="775"/>
      <c r="D9" s="776"/>
      <c r="E9" s="776"/>
      <c r="F9" s="776"/>
      <c r="G9" s="786"/>
      <c r="H9" s="787"/>
      <c r="J9" s="784"/>
    </row>
    <row r="10" spans="1:10" ht="15.75" x14ac:dyDescent="0.25">
      <c r="A10" s="781"/>
      <c r="C10" s="775"/>
      <c r="D10" s="776"/>
      <c r="E10" s="776"/>
      <c r="F10" s="776"/>
      <c r="G10" s="786"/>
      <c r="H10" s="783"/>
      <c r="J10" s="784"/>
    </row>
    <row r="11" spans="1:10" x14ac:dyDescent="0.2">
      <c r="A11" s="788"/>
      <c r="C11" s="789"/>
      <c r="D11" s="789"/>
      <c r="E11" s="789"/>
      <c r="F11" s="789"/>
      <c r="G11" s="789"/>
      <c r="H11" s="783"/>
      <c r="J11" s="780"/>
    </row>
    <row r="12" spans="1:10" x14ac:dyDescent="0.2">
      <c r="A12" s="788"/>
      <c r="C12" s="789"/>
      <c r="D12" s="789"/>
      <c r="E12" s="789"/>
      <c r="F12" s="789"/>
      <c r="G12" s="789"/>
      <c r="H12" s="783"/>
      <c r="J12" s="780"/>
    </row>
    <row r="13" spans="1:10" x14ac:dyDescent="0.2">
      <c r="B13" s="790" t="s">
        <v>776</v>
      </c>
      <c r="C13" s="782">
        <f t="shared" ref="C13:H13" si="0">C8-SUM(C10:C12)</f>
        <v>112836</v>
      </c>
      <c r="D13" s="782">
        <f t="shared" si="0"/>
        <v>111253</v>
      </c>
      <c r="E13" s="782">
        <f t="shared" si="0"/>
        <v>112836</v>
      </c>
      <c r="F13" s="782">
        <f t="shared" si="0"/>
        <v>112836</v>
      </c>
      <c r="G13" s="782">
        <f t="shared" si="0"/>
        <v>112836</v>
      </c>
      <c r="H13" s="782">
        <f t="shared" si="0"/>
        <v>562597</v>
      </c>
      <c r="J13" s="780"/>
    </row>
    <row r="14" spans="1:10" x14ac:dyDescent="0.2">
      <c r="A14" s="790"/>
      <c r="C14" s="789"/>
      <c r="D14" s="789"/>
      <c r="E14" s="789"/>
      <c r="F14" s="789"/>
      <c r="G14" s="789"/>
      <c r="H14" s="783"/>
      <c r="J14" s="780"/>
    </row>
    <row r="15" spans="1:10" ht="15.75" x14ac:dyDescent="0.25">
      <c r="A15" s="781" t="s">
        <v>777</v>
      </c>
      <c r="C15" s="789"/>
      <c r="D15" s="789"/>
      <c r="E15" s="789"/>
      <c r="F15" s="789"/>
      <c r="G15" s="789"/>
      <c r="H15" s="783"/>
      <c r="J15" s="780"/>
    </row>
    <row r="16" spans="1:10" x14ac:dyDescent="0.2">
      <c r="A16" s="791" t="s">
        <v>778</v>
      </c>
      <c r="C16" s="789"/>
      <c r="D16" s="789"/>
      <c r="E16" s="792">
        <f>561367</f>
        <v>561367</v>
      </c>
      <c r="F16" s="789"/>
      <c r="G16" s="789"/>
      <c r="H16" s="783">
        <f t="shared" ref="H16:H18" si="1">SUM(C16:G16)</f>
        <v>561367</v>
      </c>
      <c r="J16" s="780"/>
    </row>
    <row r="17" spans="1:10" x14ac:dyDescent="0.2">
      <c r="A17" s="791"/>
      <c r="C17" s="789"/>
      <c r="D17" s="793"/>
      <c r="E17" s="793"/>
      <c r="F17" s="789"/>
      <c r="G17" s="789"/>
      <c r="H17" s="783">
        <f t="shared" si="1"/>
        <v>0</v>
      </c>
      <c r="J17" s="780"/>
    </row>
    <row r="18" spans="1:10" x14ac:dyDescent="0.2">
      <c r="A18" s="791"/>
      <c r="C18" s="793"/>
      <c r="D18" s="793"/>
      <c r="E18" s="793"/>
      <c r="F18" s="793"/>
      <c r="G18" s="793"/>
      <c r="H18" s="783">
        <f t="shared" si="1"/>
        <v>0</v>
      </c>
    </row>
    <row r="19" spans="1:10" x14ac:dyDescent="0.2">
      <c r="B19" s="794" t="s">
        <v>779</v>
      </c>
      <c r="C19" s="782">
        <f>SUM(C15:C18)</f>
        <v>0</v>
      </c>
      <c r="D19" s="782">
        <f>SUM(D15:D18)</f>
        <v>0</v>
      </c>
      <c r="E19" s="782">
        <f>SUM(E15:E18)</f>
        <v>561367</v>
      </c>
      <c r="F19" s="782">
        <f>SUM(F15:F18)</f>
        <v>0</v>
      </c>
      <c r="G19" s="782">
        <f>SUM(G15:G18)</f>
        <v>0</v>
      </c>
      <c r="H19" s="782">
        <f>SUM(H16:H18)</f>
        <v>561367</v>
      </c>
    </row>
    <row r="20" spans="1:10" ht="27" customHeight="1" thickBot="1" x14ac:dyDescent="0.25">
      <c r="B20" s="795" t="s">
        <v>780</v>
      </c>
      <c r="C20" s="796">
        <f>C13-C19</f>
        <v>112836</v>
      </c>
      <c r="D20" s="796">
        <f>C20+D13-SUM(D15:D18)</f>
        <v>224089</v>
      </c>
      <c r="E20" s="796">
        <f t="shared" ref="E20:G20" si="2">D20+E13-SUM(E15:E18)</f>
        <v>-224442</v>
      </c>
      <c r="F20" s="796">
        <f t="shared" si="2"/>
        <v>-111606</v>
      </c>
      <c r="G20" s="796">
        <f t="shared" si="2"/>
        <v>1230</v>
      </c>
      <c r="H20" s="796">
        <f>H13-H19</f>
        <v>1230</v>
      </c>
      <c r="I20" s="773" t="s">
        <v>781</v>
      </c>
      <c r="J20" s="797"/>
    </row>
    <row r="21" spans="1:10" ht="24.75" customHeight="1" thickTop="1" x14ac:dyDescent="0.25">
      <c r="B21" s="798"/>
      <c r="C21" s="787"/>
      <c r="D21" s="787"/>
      <c r="E21" s="787"/>
      <c r="F21" s="787"/>
      <c r="G21" s="787"/>
      <c r="H21" s="787"/>
      <c r="J21" s="797"/>
    </row>
    <row r="22" spans="1:10" ht="24.75" customHeight="1" x14ac:dyDescent="0.25">
      <c r="B22" s="798"/>
      <c r="C22" s="787"/>
      <c r="D22" s="787"/>
      <c r="E22" s="787"/>
      <c r="F22" s="787"/>
      <c r="G22" s="787"/>
      <c r="H22" s="787"/>
      <c r="J22" s="797"/>
    </row>
    <row r="23" spans="1:10" ht="13.15" customHeight="1" x14ac:dyDescent="0.2">
      <c r="B23" s="799" t="s">
        <v>782</v>
      </c>
      <c r="C23" s="800"/>
      <c r="F23" s="800"/>
      <c r="G23" s="801"/>
      <c r="H23" s="802"/>
    </row>
    <row r="24" spans="1:10" ht="16.899999999999999" customHeight="1" x14ac:dyDescent="0.2">
      <c r="A24" s="803" t="s">
        <v>774</v>
      </c>
      <c r="B24" s="804" t="s">
        <v>783</v>
      </c>
      <c r="C24" s="784"/>
      <c r="D24" s="805"/>
      <c r="E24" s="806"/>
      <c r="F24" s="800"/>
      <c r="H24" s="797"/>
    </row>
    <row r="25" spans="1:10" ht="18" customHeight="1" x14ac:dyDescent="0.2">
      <c r="A25" s="807" t="s">
        <v>781</v>
      </c>
      <c r="B25" s="773" t="s">
        <v>784</v>
      </c>
      <c r="C25" s="808"/>
      <c r="D25" s="808"/>
      <c r="E25" s="809"/>
      <c r="F25" s="801"/>
      <c r="G25" s="786"/>
      <c r="H25" s="808"/>
      <c r="I25" s="810"/>
      <c r="J25" s="808"/>
    </row>
    <row r="26" spans="1:10" ht="25.15" customHeight="1" x14ac:dyDescent="0.2">
      <c r="C26" s="811"/>
      <c r="D26" s="786"/>
      <c r="E26" s="809"/>
      <c r="F26" s="812"/>
      <c r="G26" s="786"/>
      <c r="H26" s="808"/>
      <c r="I26" s="808"/>
      <c r="J26" s="808"/>
    </row>
    <row r="27" spans="1:10" ht="22.15" customHeight="1" x14ac:dyDescent="0.2">
      <c r="C27" s="808"/>
      <c r="D27" s="808"/>
      <c r="E27" s="809"/>
      <c r="F27" s="810"/>
      <c r="G27" s="808"/>
      <c r="H27" s="808"/>
      <c r="I27" s="808"/>
      <c r="J27" s="808"/>
    </row>
    <row r="28" spans="1:10" x14ac:dyDescent="0.2">
      <c r="C28" s="808"/>
      <c r="D28" s="808"/>
      <c r="E28" s="813"/>
      <c r="F28" s="810"/>
      <c r="G28" s="808"/>
      <c r="H28" s="808"/>
      <c r="I28" s="808"/>
      <c r="J28" s="808"/>
    </row>
    <row r="29" spans="1:10" x14ac:dyDescent="0.2">
      <c r="C29" s="814"/>
      <c r="D29" s="808"/>
      <c r="E29" s="813"/>
      <c r="F29" s="810"/>
      <c r="G29" s="808"/>
      <c r="H29" s="808"/>
      <c r="I29" s="808"/>
      <c r="J29" s="808"/>
    </row>
    <row r="30" spans="1:10" x14ac:dyDescent="0.2">
      <c r="C30" s="814"/>
      <c r="D30" s="808"/>
      <c r="E30" s="813"/>
      <c r="F30" s="810"/>
      <c r="G30" s="808"/>
      <c r="H30" s="808"/>
      <c r="I30" s="808"/>
      <c r="J30" s="808"/>
    </row>
    <row r="31" spans="1:10" ht="3.6" customHeight="1" x14ac:dyDescent="0.2">
      <c r="C31" s="814"/>
      <c r="D31" s="808"/>
      <c r="E31" s="813"/>
      <c r="F31" s="810"/>
      <c r="G31" s="808"/>
      <c r="H31" s="808"/>
      <c r="I31" s="808"/>
      <c r="J31" s="808"/>
    </row>
    <row r="32" spans="1:10" x14ac:dyDescent="0.2">
      <c r="C32" s="808"/>
      <c r="D32" s="808"/>
      <c r="E32" s="813"/>
      <c r="F32" s="815"/>
      <c r="G32" s="808"/>
      <c r="H32" s="808"/>
      <c r="I32" s="808"/>
      <c r="J32" s="808"/>
    </row>
    <row r="33" spans="3:15" x14ac:dyDescent="0.2">
      <c r="C33" s="808"/>
      <c r="D33" s="808"/>
      <c r="E33" s="813"/>
      <c r="F33" s="815"/>
      <c r="G33" s="808"/>
      <c r="H33" s="808"/>
      <c r="I33" s="808"/>
      <c r="J33" s="808"/>
    </row>
    <row r="34" spans="3:15" x14ac:dyDescent="0.2">
      <c r="C34" s="808"/>
      <c r="D34" s="808"/>
      <c r="E34" s="813"/>
      <c r="F34" s="815"/>
      <c r="G34" s="808"/>
      <c r="H34" s="808"/>
      <c r="I34" s="808"/>
      <c r="J34" s="808"/>
    </row>
    <row r="35" spans="3:15" ht="3.6" customHeight="1" x14ac:dyDescent="0.2">
      <c r="C35" s="808"/>
      <c r="D35" s="808"/>
      <c r="E35" s="813"/>
      <c r="F35" s="815"/>
      <c r="G35" s="808"/>
      <c r="H35" s="808"/>
      <c r="I35" s="808"/>
      <c r="J35" s="808"/>
    </row>
    <row r="36" spans="3:15" x14ac:dyDescent="0.2">
      <c r="C36" s="808"/>
      <c r="D36" s="808"/>
      <c r="E36" s="813"/>
      <c r="F36" s="810"/>
      <c r="G36" s="808"/>
      <c r="H36" s="808"/>
      <c r="I36" s="808"/>
      <c r="J36" s="808"/>
    </row>
    <row r="37" spans="3:15" ht="15" x14ac:dyDescent="0.25">
      <c r="C37" s="808"/>
      <c r="D37" s="808"/>
      <c r="E37" s="813"/>
      <c r="F37" s="816"/>
      <c r="G37" s="810"/>
      <c r="H37" s="808"/>
      <c r="I37" s="808"/>
      <c r="J37" s="808"/>
    </row>
    <row r="38" spans="3:15" ht="15" x14ac:dyDescent="0.25">
      <c r="C38" s="808"/>
      <c r="D38" s="808"/>
      <c r="E38" s="813"/>
      <c r="F38" s="816"/>
      <c r="G38" s="808"/>
      <c r="H38" s="808"/>
      <c r="I38" s="808"/>
      <c r="J38" s="808"/>
    </row>
    <row r="39" spans="3:15" ht="4.1500000000000004" customHeight="1" x14ac:dyDescent="0.25">
      <c r="C39" s="808"/>
      <c r="D39" s="808"/>
      <c r="E39" s="813"/>
      <c r="F39" s="816"/>
      <c r="G39" s="808"/>
      <c r="H39" s="808"/>
      <c r="I39" s="808"/>
      <c r="J39" s="808"/>
    </row>
    <row r="40" spans="3:15" x14ac:dyDescent="0.2">
      <c r="C40" s="808"/>
      <c r="D40" s="808"/>
      <c r="E40" s="808"/>
      <c r="F40" s="808"/>
      <c r="G40" s="808"/>
      <c r="H40" s="808"/>
      <c r="I40" s="808"/>
      <c r="J40" s="808"/>
      <c r="O40" s="801"/>
    </row>
    <row r="41" spans="3:15" x14ac:dyDescent="0.2">
      <c r="C41" s="808"/>
      <c r="D41" s="808"/>
      <c r="E41" s="810"/>
      <c r="F41" s="808"/>
      <c r="G41" s="808"/>
      <c r="H41" s="808"/>
      <c r="I41" s="808"/>
      <c r="J41" s="808"/>
      <c r="O41" s="801"/>
    </row>
    <row r="42" spans="3:15" x14ac:dyDescent="0.2">
      <c r="O42" s="801"/>
    </row>
    <row r="43" spans="3:15" ht="18.75" x14ac:dyDescent="0.3">
      <c r="C43" s="817"/>
      <c r="D43" s="808"/>
      <c r="E43" s="808"/>
      <c r="F43" s="808"/>
      <c r="G43" s="808"/>
      <c r="H43" s="808"/>
      <c r="I43" s="808"/>
      <c r="J43" s="808"/>
      <c r="O43" s="801"/>
    </row>
    <row r="44" spans="3:15" x14ac:dyDescent="0.2">
      <c r="C44" s="808"/>
      <c r="D44" s="808"/>
      <c r="E44" s="810"/>
      <c r="F44" s="808"/>
      <c r="G44" s="808"/>
      <c r="H44" s="808"/>
      <c r="I44" s="808"/>
      <c r="J44" s="808"/>
      <c r="O44" s="801"/>
    </row>
    <row r="45" spans="3:15" x14ac:dyDescent="0.2">
      <c r="C45" s="808"/>
      <c r="D45" s="808"/>
      <c r="E45" s="810"/>
      <c r="F45" s="808"/>
      <c r="G45" s="808"/>
      <c r="H45" s="808"/>
      <c r="I45" s="808"/>
      <c r="J45" s="808"/>
      <c r="O45" s="801"/>
    </row>
    <row r="46" spans="3:15" x14ac:dyDescent="0.2">
      <c r="C46" s="808"/>
      <c r="D46" s="808"/>
      <c r="E46" s="810"/>
      <c r="F46" s="808"/>
      <c r="G46" s="808"/>
      <c r="H46" s="808"/>
      <c r="I46" s="808"/>
      <c r="J46" s="808"/>
      <c r="O46" s="801"/>
    </row>
    <row r="47" spans="3:15" ht="18.75" x14ac:dyDescent="0.3">
      <c r="C47" s="817"/>
      <c r="D47" s="808"/>
      <c r="E47" s="808"/>
      <c r="F47" s="810"/>
      <c r="G47" s="808"/>
      <c r="H47" s="808"/>
      <c r="I47" s="808"/>
      <c r="J47" s="808"/>
    </row>
    <row r="48" spans="3:15" x14ac:dyDescent="0.2">
      <c r="C48" s="808"/>
      <c r="D48" s="808"/>
      <c r="E48" s="808"/>
      <c r="F48" s="810"/>
      <c r="G48" s="810"/>
      <c r="H48" s="808"/>
      <c r="I48" s="808"/>
      <c r="J48" s="808"/>
    </row>
    <row r="49" spans="3:10" x14ac:dyDescent="0.2">
      <c r="C49" s="808"/>
      <c r="D49" s="808"/>
      <c r="E49" s="808"/>
      <c r="F49" s="810"/>
      <c r="G49" s="786"/>
      <c r="H49" s="808"/>
      <c r="I49" s="808"/>
      <c r="J49" s="808"/>
    </row>
    <row r="50" spans="3:10" x14ac:dyDescent="0.2">
      <c r="C50" s="808"/>
      <c r="D50" s="808"/>
      <c r="E50" s="808"/>
      <c r="F50" s="810"/>
      <c r="G50" s="786"/>
      <c r="H50" s="808"/>
      <c r="I50" s="808"/>
      <c r="J50" s="808"/>
    </row>
    <row r="51" spans="3:10" ht="27.6" customHeight="1" x14ac:dyDescent="0.2">
      <c r="C51" s="872"/>
      <c r="D51" s="872"/>
      <c r="E51" s="872"/>
      <c r="F51" s="808"/>
      <c r="G51" s="810"/>
      <c r="H51" s="808"/>
      <c r="I51" s="808"/>
      <c r="J51" s="808"/>
    </row>
    <row r="52" spans="3:10" x14ac:dyDescent="0.2">
      <c r="C52" s="818"/>
      <c r="D52" s="819"/>
      <c r="E52" s="819"/>
      <c r="F52" s="810"/>
      <c r="G52" s="786"/>
      <c r="H52" s="808"/>
      <c r="I52" s="808"/>
      <c r="J52" s="819"/>
    </row>
    <row r="53" spans="3:10" x14ac:dyDescent="0.2">
      <c r="C53" s="808"/>
      <c r="D53" s="808"/>
      <c r="E53" s="808"/>
      <c r="F53" s="808"/>
      <c r="G53" s="815"/>
      <c r="H53" s="808"/>
      <c r="I53" s="808"/>
      <c r="J53" s="819"/>
    </row>
    <row r="54" spans="3:10" ht="27" customHeight="1" x14ac:dyDescent="0.2">
      <c r="C54" s="872"/>
      <c r="D54" s="872"/>
      <c r="E54" s="872"/>
      <c r="F54" s="808"/>
      <c r="G54" s="820"/>
      <c r="H54" s="808"/>
      <c r="I54" s="808"/>
      <c r="J54" s="819"/>
    </row>
    <row r="55" spans="3:10" x14ac:dyDescent="0.2">
      <c r="C55" s="808"/>
      <c r="D55" s="808"/>
      <c r="E55" s="808"/>
      <c r="F55" s="808"/>
      <c r="G55" s="820"/>
      <c r="H55" s="808"/>
      <c r="I55" s="808"/>
      <c r="J55" s="819"/>
    </row>
    <row r="56" spans="3:10" x14ac:dyDescent="0.2">
      <c r="C56" s="808"/>
      <c r="D56" s="808"/>
      <c r="E56" s="808"/>
      <c r="F56" s="808"/>
      <c r="G56" s="815"/>
      <c r="H56" s="808"/>
      <c r="I56" s="808"/>
      <c r="J56" s="819"/>
    </row>
    <row r="57" spans="3:10" x14ac:dyDescent="0.2">
      <c r="C57" s="818"/>
      <c r="D57" s="819"/>
      <c r="E57" s="818"/>
      <c r="F57" s="810"/>
      <c r="G57" s="786"/>
      <c r="H57" s="808"/>
      <c r="I57" s="808"/>
      <c r="J57" s="808"/>
    </row>
  </sheetData>
  <mergeCells count="3">
    <mergeCell ref="H6:H7"/>
    <mergeCell ref="C51:E51"/>
    <mergeCell ref="C54:E54"/>
  </mergeCells>
  <printOptions horizontalCentered="1" verticalCentered="1"/>
  <pageMargins left="0.59399999999999997" right="0.55333333333333301" top="0.75" bottom="0.75" header="0.3" footer="0.3"/>
  <pageSetup scale="75" orientation="landscape" horizontalDpi="1200" verticalDpi="1200" r:id="rId1"/>
  <headerFooter>
    <oddFooter>&amp;L&amp;D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10"/>
  <sheetViews>
    <sheetView workbookViewId="0">
      <selection activeCell="A20" sqref="A20"/>
    </sheetView>
  </sheetViews>
  <sheetFormatPr defaultColWidth="8.85546875" defaultRowHeight="12.75" x14ac:dyDescent="0.2"/>
  <cols>
    <col min="1" max="1" width="20.85546875" style="666" customWidth="1"/>
    <col min="2" max="4" width="8.85546875" style="666"/>
    <col min="5" max="5" width="10.42578125" style="666" bestFit="1" customWidth="1"/>
    <col min="6" max="6" width="11.42578125" style="666" bestFit="1" customWidth="1"/>
    <col min="7" max="7" width="10.42578125" style="666" bestFit="1" customWidth="1"/>
    <col min="8" max="16384" width="8.85546875" style="666"/>
  </cols>
  <sheetData>
    <row r="1" spans="1:7" ht="13.5" thickBot="1" x14ac:dyDescent="0.25">
      <c r="A1" s="666" t="s">
        <v>241</v>
      </c>
    </row>
    <row r="2" spans="1:7" ht="13.5" thickBot="1" x14ac:dyDescent="0.25">
      <c r="A2" s="764" t="s">
        <v>142</v>
      </c>
      <c r="B2" s="765" t="s">
        <v>242</v>
      </c>
      <c r="C2" s="766" t="s">
        <v>243</v>
      </c>
      <c r="E2" s="768" t="s">
        <v>758</v>
      </c>
      <c r="F2" s="769" t="s">
        <v>25</v>
      </c>
      <c r="G2" s="768" t="s">
        <v>42</v>
      </c>
    </row>
    <row r="3" spans="1:7" x14ac:dyDescent="0.2">
      <c r="A3" s="208" t="s">
        <v>126</v>
      </c>
      <c r="B3" s="273">
        <v>0.22</v>
      </c>
      <c r="C3" s="273">
        <v>0.82</v>
      </c>
      <c r="E3" s="272">
        <v>34587</v>
      </c>
      <c r="F3" s="272">
        <v>238271</v>
      </c>
      <c r="G3" s="272">
        <v>4098</v>
      </c>
    </row>
    <row r="4" spans="1:7" x14ac:dyDescent="0.2">
      <c r="A4" s="197" t="s">
        <v>95</v>
      </c>
      <c r="B4" s="274">
        <v>0.2</v>
      </c>
      <c r="C4" s="274">
        <v>0.52500000000000002</v>
      </c>
      <c r="E4" s="223">
        <v>50438</v>
      </c>
      <c r="F4" s="223">
        <v>440390</v>
      </c>
      <c r="G4" s="223">
        <v>8647</v>
      </c>
    </row>
    <row r="5" spans="1:7" x14ac:dyDescent="0.2">
      <c r="A5" s="197" t="s">
        <v>94</v>
      </c>
      <c r="B5" s="274">
        <v>0.19</v>
      </c>
      <c r="C5" s="274">
        <v>0.443</v>
      </c>
      <c r="E5" s="223">
        <v>77559</v>
      </c>
      <c r="F5" s="223">
        <v>533847</v>
      </c>
      <c r="G5" s="223">
        <v>25200</v>
      </c>
    </row>
    <row r="7" spans="1:7" x14ac:dyDescent="0.2">
      <c r="A7" s="35" t="s">
        <v>757</v>
      </c>
    </row>
    <row r="9" spans="1:7" x14ac:dyDescent="0.2">
      <c r="A9" s="767"/>
    </row>
    <row r="10" spans="1:7" x14ac:dyDescent="0.2">
      <c r="A10" s="61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"/>
  <sheetViews>
    <sheetView topLeftCell="A58" zoomScale="40" zoomScaleNormal="40" workbookViewId="0">
      <selection activeCell="J5" sqref="J5"/>
    </sheetView>
  </sheetViews>
  <sheetFormatPr defaultRowHeight="12.75" x14ac:dyDescent="0.2"/>
  <cols>
    <col min="1" max="1" width="21.7109375" customWidth="1"/>
    <col min="2" max="2" width="11.5703125" bestFit="1" customWidth="1"/>
    <col min="3" max="3" width="9.5703125" customWidth="1"/>
    <col min="4" max="4" width="10" customWidth="1"/>
    <col min="5" max="5" width="12" customWidth="1"/>
    <col min="6" max="6" width="9.28515625" bestFit="1" customWidth="1"/>
    <col min="7" max="7" width="9.28515625" customWidth="1"/>
    <col min="8" max="8" width="13.42578125" customWidth="1"/>
    <col min="9" max="9" width="14.140625" customWidth="1"/>
    <col min="10" max="11" width="10.28515625" bestFit="1" customWidth="1"/>
  </cols>
  <sheetData>
    <row r="1" spans="1:15" s="341" customFormat="1" ht="13.5" thickBot="1" x14ac:dyDescent="0.25">
      <c r="A1" s="158" t="s">
        <v>304</v>
      </c>
    </row>
    <row r="2" spans="1:15" ht="13.5" thickBot="1" x14ac:dyDescent="0.25">
      <c r="A2" s="873" t="s">
        <v>138</v>
      </c>
      <c r="B2" s="874"/>
      <c r="C2" s="874"/>
      <c r="D2" s="874"/>
      <c r="E2" s="874"/>
      <c r="F2" s="874"/>
      <c r="G2" s="874"/>
      <c r="H2" s="874"/>
      <c r="I2" s="874"/>
      <c r="J2" s="874"/>
      <c r="K2" s="875"/>
    </row>
    <row r="3" spans="1:15" ht="102.75" customHeight="1" thickBot="1" x14ac:dyDescent="0.25">
      <c r="A3" s="270" t="s">
        <v>142</v>
      </c>
      <c r="B3" s="703" t="s">
        <v>144</v>
      </c>
      <c r="C3" s="703" t="s">
        <v>143</v>
      </c>
      <c r="D3" s="703" t="s">
        <v>139</v>
      </c>
      <c r="E3" s="703" t="s">
        <v>140</v>
      </c>
      <c r="F3" s="271" t="s">
        <v>223</v>
      </c>
      <c r="G3" s="271" t="s">
        <v>225</v>
      </c>
      <c r="H3" s="271" t="s">
        <v>227</v>
      </c>
      <c r="I3" s="271" t="s">
        <v>226</v>
      </c>
      <c r="J3" s="271" t="s">
        <v>224</v>
      </c>
      <c r="K3" s="271" t="s">
        <v>218</v>
      </c>
      <c r="M3" s="876" t="s">
        <v>609</v>
      </c>
      <c r="N3" s="876"/>
      <c r="O3" s="876"/>
    </row>
    <row r="4" spans="1:15" x14ac:dyDescent="0.2">
      <c r="A4" s="208" t="s">
        <v>126</v>
      </c>
      <c r="B4" s="699">
        <v>30</v>
      </c>
      <c r="C4" s="700">
        <v>43</v>
      </c>
      <c r="D4" s="700">
        <v>15</v>
      </c>
      <c r="E4" s="701">
        <f>B4*C4</f>
        <v>1290</v>
      </c>
      <c r="F4" s="269">
        <f>B4*D4</f>
        <v>450</v>
      </c>
      <c r="G4" s="269"/>
      <c r="H4" s="272">
        <v>35503</v>
      </c>
      <c r="I4" s="269"/>
      <c r="J4" s="272">
        <v>13568</v>
      </c>
      <c r="K4" s="268">
        <v>3121</v>
      </c>
    </row>
    <row r="5" spans="1:15" x14ac:dyDescent="0.2">
      <c r="A5" s="197" t="s">
        <v>95</v>
      </c>
      <c r="B5" s="702">
        <v>50</v>
      </c>
      <c r="C5" s="626">
        <v>43</v>
      </c>
      <c r="D5" s="626">
        <v>15</v>
      </c>
      <c r="E5" s="626">
        <f t="shared" ref="E5:E6" si="0">B5*C5</f>
        <v>2150</v>
      </c>
      <c r="F5" s="199">
        <f t="shared" ref="F5:F6" si="1">B5*D5</f>
        <v>750</v>
      </c>
      <c r="G5" s="199"/>
      <c r="H5" s="223">
        <v>35503</v>
      </c>
      <c r="I5" s="199"/>
      <c r="J5" s="223">
        <v>22613</v>
      </c>
      <c r="K5" s="199">
        <v>3460</v>
      </c>
    </row>
    <row r="6" spans="1:15" x14ac:dyDescent="0.2">
      <c r="A6" s="197" t="s">
        <v>94</v>
      </c>
      <c r="B6" s="702">
        <v>50</v>
      </c>
      <c r="C6" s="626">
        <v>43</v>
      </c>
      <c r="D6" s="626">
        <v>15</v>
      </c>
      <c r="E6" s="626">
        <f t="shared" si="0"/>
        <v>2150</v>
      </c>
      <c r="F6" s="199">
        <f t="shared" si="1"/>
        <v>750</v>
      </c>
      <c r="G6" s="199"/>
      <c r="H6" s="223">
        <v>21302</v>
      </c>
      <c r="I6" s="199"/>
      <c r="J6" s="223">
        <v>22613</v>
      </c>
      <c r="K6" s="199">
        <v>3573</v>
      </c>
    </row>
    <row r="7" spans="1:15" x14ac:dyDescent="0.2">
      <c r="E7" s="196"/>
      <c r="F7" s="195"/>
      <c r="G7" s="195"/>
      <c r="H7" s="195"/>
      <c r="I7" s="195"/>
    </row>
  </sheetData>
  <mergeCells count="2">
    <mergeCell ref="A2:K2"/>
    <mergeCell ref="M3:O3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"/>
  <sheetViews>
    <sheetView topLeftCell="A49" zoomScale="55" zoomScaleNormal="55" workbookViewId="0">
      <selection activeCell="A4" sqref="A4:XFD4"/>
    </sheetView>
  </sheetViews>
  <sheetFormatPr defaultRowHeight="12.75" x14ac:dyDescent="0.2"/>
  <cols>
    <col min="1" max="1" width="11.42578125" bestFit="1" customWidth="1"/>
    <col min="2" max="2" width="12.5703125" customWidth="1"/>
    <col min="8" max="8" width="12.28515625" customWidth="1"/>
  </cols>
  <sheetData>
    <row r="1" spans="1:17" s="341" customFormat="1" ht="13.5" thickBot="1" x14ac:dyDescent="0.25">
      <c r="A1" s="158" t="s">
        <v>610</v>
      </c>
    </row>
    <row r="2" spans="1:17" ht="13.5" thickBot="1" x14ac:dyDescent="0.25">
      <c r="A2" s="877" t="s">
        <v>257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9"/>
    </row>
    <row r="3" spans="1:17" ht="54" customHeight="1" x14ac:dyDescent="0.2">
      <c r="A3" s="311" t="s">
        <v>253</v>
      </c>
      <c r="B3" s="305" t="s">
        <v>255</v>
      </c>
      <c r="C3" s="305" t="s">
        <v>259</v>
      </c>
      <c r="D3" s="305" t="s">
        <v>179</v>
      </c>
      <c r="E3" s="305" t="s">
        <v>250</v>
      </c>
      <c r="F3" s="305" t="s">
        <v>260</v>
      </c>
      <c r="G3" s="305" t="s">
        <v>258</v>
      </c>
      <c r="H3" s="305" t="s">
        <v>140</v>
      </c>
      <c r="I3" s="305" t="s">
        <v>249</v>
      </c>
      <c r="J3" s="305" t="s">
        <v>207</v>
      </c>
      <c r="K3" s="305" t="s">
        <v>208</v>
      </c>
      <c r="L3" s="305" t="s">
        <v>225</v>
      </c>
      <c r="M3" s="305" t="s">
        <v>252</v>
      </c>
      <c r="O3" s="876" t="s">
        <v>609</v>
      </c>
      <c r="P3" s="876"/>
      <c r="Q3" s="876"/>
    </row>
    <row r="4" spans="1:17" x14ac:dyDescent="0.2">
      <c r="A4" s="198" t="s">
        <v>95</v>
      </c>
      <c r="B4" s="198"/>
      <c r="C4" s="198">
        <v>1</v>
      </c>
      <c r="D4" s="198"/>
      <c r="E4" s="198">
        <v>234</v>
      </c>
      <c r="F4" s="198">
        <v>35</v>
      </c>
      <c r="G4" s="198">
        <v>0</v>
      </c>
      <c r="H4" s="199">
        <f>C4*E4</f>
        <v>234</v>
      </c>
      <c r="I4" s="198">
        <f>C4*G4</f>
        <v>0</v>
      </c>
      <c r="J4" s="198"/>
      <c r="K4" s="312">
        <v>1406</v>
      </c>
      <c r="L4" s="313">
        <f>'Uti Rates &amp; Lighting Caps'!B4</f>
        <v>0.153</v>
      </c>
      <c r="M4" s="198">
        <v>215</v>
      </c>
    </row>
    <row r="5" spans="1:17" x14ac:dyDescent="0.2">
      <c r="A5" s="198" t="s">
        <v>94</v>
      </c>
      <c r="B5" s="198"/>
      <c r="C5" s="314">
        <v>2</v>
      </c>
      <c r="D5" s="198"/>
      <c r="E5" s="198">
        <v>234</v>
      </c>
      <c r="F5" s="198">
        <v>35</v>
      </c>
      <c r="G5" s="198">
        <v>0</v>
      </c>
      <c r="H5" s="199">
        <f>(C5*E5)+(C5*F5)</f>
        <v>538</v>
      </c>
      <c r="I5" s="198">
        <f>C5*G5</f>
        <v>0</v>
      </c>
      <c r="J5" s="198"/>
      <c r="K5" s="312">
        <v>4414</v>
      </c>
      <c r="L5" s="313">
        <f>'Uti Rates &amp; Lighting Caps'!B5</f>
        <v>0.158</v>
      </c>
      <c r="M5" s="198">
        <v>697</v>
      </c>
    </row>
  </sheetData>
  <mergeCells count="2">
    <mergeCell ref="A2:M2"/>
    <mergeCell ref="O3:Q3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"/>
  <sheetViews>
    <sheetView workbookViewId="0">
      <selection activeCell="L84" sqref="L84"/>
    </sheetView>
  </sheetViews>
  <sheetFormatPr defaultRowHeight="12.75" x14ac:dyDescent="0.2"/>
  <cols>
    <col min="1" max="1" width="21.7109375" customWidth="1"/>
    <col min="2" max="2" width="18.5703125" bestFit="1" customWidth="1"/>
    <col min="3" max="3" width="11.5703125" bestFit="1" customWidth="1"/>
    <col min="4" max="6" width="11.5703125" customWidth="1"/>
    <col min="7" max="7" width="9.5703125" customWidth="1"/>
    <col min="8" max="8" width="10" customWidth="1"/>
    <col min="9" max="9" width="12" customWidth="1"/>
    <col min="10" max="10" width="9.28515625" bestFit="1" customWidth="1"/>
    <col min="15" max="15" width="4.140625" customWidth="1"/>
  </cols>
  <sheetData>
    <row r="1" spans="1:18" s="341" customFormat="1" ht="13.5" thickBot="1" x14ac:dyDescent="0.25">
      <c r="A1" s="158" t="s">
        <v>611</v>
      </c>
    </row>
    <row r="2" spans="1:18" ht="13.5" thickBot="1" x14ac:dyDescent="0.25">
      <c r="A2" s="877" t="s">
        <v>147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9"/>
    </row>
    <row r="3" spans="1:18" ht="54" customHeight="1" x14ac:dyDescent="0.2">
      <c r="A3" s="306" t="s">
        <v>253</v>
      </c>
      <c r="B3" s="306" t="s">
        <v>255</v>
      </c>
      <c r="C3" s="267" t="s">
        <v>148</v>
      </c>
      <c r="D3" s="267" t="s">
        <v>256</v>
      </c>
      <c r="E3" s="267" t="s">
        <v>254</v>
      </c>
      <c r="F3" s="267" t="s">
        <v>179</v>
      </c>
      <c r="G3" s="267" t="s">
        <v>250</v>
      </c>
      <c r="H3" s="267" t="s">
        <v>251</v>
      </c>
      <c r="I3" s="267" t="s">
        <v>140</v>
      </c>
      <c r="J3" s="267" t="s">
        <v>249</v>
      </c>
      <c r="K3" s="305" t="s">
        <v>207</v>
      </c>
      <c r="L3" s="305" t="s">
        <v>208</v>
      </c>
      <c r="M3" s="305" t="s">
        <v>225</v>
      </c>
      <c r="N3" s="305" t="s">
        <v>252</v>
      </c>
      <c r="P3" s="876" t="s">
        <v>609</v>
      </c>
      <c r="Q3" s="876"/>
      <c r="R3" s="876"/>
    </row>
    <row r="4" spans="1:18" ht="13.5" thickBot="1" x14ac:dyDescent="0.25">
      <c r="A4" s="197" t="s">
        <v>126</v>
      </c>
      <c r="B4" s="197"/>
      <c r="C4" s="200">
        <v>0</v>
      </c>
      <c r="D4" s="200"/>
      <c r="E4" s="200"/>
      <c r="F4" s="200"/>
      <c r="G4" s="199">
        <v>43</v>
      </c>
      <c r="H4" s="199">
        <v>15</v>
      </c>
      <c r="I4" s="308">
        <f>C4*G4</f>
        <v>0</v>
      </c>
      <c r="J4" s="308">
        <f>C4*H4</f>
        <v>0</v>
      </c>
      <c r="K4" s="307"/>
      <c r="L4" s="307"/>
      <c r="M4" s="307"/>
      <c r="N4" s="307"/>
    </row>
    <row r="5" spans="1:18" ht="13.5" thickTop="1" x14ac:dyDescent="0.2">
      <c r="I5" s="194">
        <f>SUM(I4)</f>
        <v>0</v>
      </c>
      <c r="J5" s="194">
        <f>SUM(J4)</f>
        <v>0</v>
      </c>
    </row>
    <row r="6" spans="1:18" x14ac:dyDescent="0.2">
      <c r="I6" s="196" t="s">
        <v>141</v>
      </c>
      <c r="J6" s="195" t="e">
        <f>J5/I5</f>
        <v>#DIV/0!</v>
      </c>
    </row>
    <row r="7" spans="1:18" x14ac:dyDescent="0.2">
      <c r="A7" s="182"/>
      <c r="B7" s="182"/>
      <c r="C7" s="226"/>
      <c r="D7" s="226"/>
      <c r="E7" s="226"/>
      <c r="F7" s="226"/>
      <c r="G7" s="32"/>
      <c r="H7" s="32"/>
      <c r="I7" s="30"/>
      <c r="J7" s="30"/>
      <c r="K7" s="8"/>
      <c r="L7" s="8"/>
      <c r="M7" s="8"/>
      <c r="N7" s="8"/>
    </row>
    <row r="8" spans="1:18" ht="13.5" thickBot="1" x14ac:dyDescent="0.25">
      <c r="A8" s="197" t="s">
        <v>95</v>
      </c>
      <c r="B8" s="197"/>
      <c r="C8" s="200">
        <v>0</v>
      </c>
      <c r="D8" s="200"/>
      <c r="E8" s="200"/>
      <c r="F8" s="200"/>
      <c r="G8" s="199">
        <v>43</v>
      </c>
      <c r="H8" s="199">
        <v>15</v>
      </c>
      <c r="I8" s="170">
        <f t="shared" ref="I8:I12" si="0">C8*G8</f>
        <v>0</v>
      </c>
      <c r="J8" s="170">
        <f t="shared" ref="J8:J12" si="1">C8*H8</f>
        <v>0</v>
      </c>
      <c r="K8" s="307"/>
      <c r="L8" s="307"/>
      <c r="M8" s="307"/>
      <c r="N8" s="307"/>
    </row>
    <row r="9" spans="1:18" ht="13.5" thickTop="1" x14ac:dyDescent="0.2">
      <c r="I9" s="194">
        <f>SUM(I8)</f>
        <v>0</v>
      </c>
      <c r="J9" s="194">
        <f>SUM(J8)</f>
        <v>0</v>
      </c>
    </row>
    <row r="10" spans="1:18" x14ac:dyDescent="0.2">
      <c r="I10" s="196" t="s">
        <v>141</v>
      </c>
      <c r="J10" s="195" t="e">
        <f>J9/I9</f>
        <v>#DIV/0!</v>
      </c>
    </row>
    <row r="11" spans="1:18" x14ac:dyDescent="0.2">
      <c r="A11" s="182"/>
      <c r="B11" s="182"/>
      <c r="C11" s="226"/>
      <c r="D11" s="226"/>
      <c r="E11" s="226"/>
      <c r="F11" s="226"/>
      <c r="G11" s="32"/>
      <c r="H11" s="32"/>
      <c r="I11" s="32"/>
      <c r="J11" s="32"/>
      <c r="K11" s="8"/>
      <c r="L11" s="8"/>
      <c r="M11" s="8"/>
      <c r="N11" s="8"/>
    </row>
    <row r="12" spans="1:18" ht="13.5" thickBot="1" x14ac:dyDescent="0.25">
      <c r="A12" s="197" t="s">
        <v>94</v>
      </c>
      <c r="B12" s="197"/>
      <c r="C12" s="200">
        <v>1</v>
      </c>
      <c r="D12" s="200"/>
      <c r="E12" s="200"/>
      <c r="F12" s="200"/>
      <c r="G12" s="199">
        <v>285</v>
      </c>
      <c r="H12" s="199">
        <v>100</v>
      </c>
      <c r="I12" s="170">
        <f t="shared" si="0"/>
        <v>285</v>
      </c>
      <c r="J12" s="170">
        <f t="shared" si="1"/>
        <v>100</v>
      </c>
      <c r="K12" s="307">
        <v>0</v>
      </c>
      <c r="L12" s="394">
        <v>1533</v>
      </c>
      <c r="M12" s="310">
        <f>'Uti Rates &amp; Lighting Caps'!B5</f>
        <v>0.158</v>
      </c>
      <c r="N12" s="393">
        <v>242</v>
      </c>
    </row>
    <row r="13" spans="1:18" ht="13.5" thickTop="1" x14ac:dyDescent="0.2">
      <c r="I13" s="194">
        <f>SUM(I12)</f>
        <v>285</v>
      </c>
      <c r="J13" s="194">
        <v>0</v>
      </c>
      <c r="K13" s="194">
        <f t="shared" ref="K13:N13" si="2">SUM(K12)</f>
        <v>0</v>
      </c>
      <c r="L13" s="194">
        <f t="shared" si="2"/>
        <v>1533</v>
      </c>
      <c r="M13" s="194">
        <f t="shared" si="2"/>
        <v>0.158</v>
      </c>
      <c r="N13" s="194">
        <f t="shared" si="2"/>
        <v>242</v>
      </c>
    </row>
    <row r="14" spans="1:18" x14ac:dyDescent="0.2">
      <c r="I14" s="309">
        <f>SUM(J12)</f>
        <v>100</v>
      </c>
      <c r="J14" s="195">
        <f>J13/I13</f>
        <v>0</v>
      </c>
    </row>
  </sheetData>
  <mergeCells count="2">
    <mergeCell ref="A2:N2"/>
    <mergeCell ref="P3:R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10</vt:i4>
      </vt:variant>
    </vt:vector>
  </HeadingPairs>
  <TitlesOfParts>
    <vt:vector size="34" baseType="lpstr">
      <vt:lpstr>District Summary</vt:lpstr>
      <vt:lpstr>Burchfield ES </vt:lpstr>
      <vt:lpstr>Egling MS </vt:lpstr>
      <vt:lpstr>Colusa HS</vt:lpstr>
      <vt:lpstr>Cash Flow </vt:lpstr>
      <vt:lpstr>Uti Rates</vt:lpstr>
      <vt:lpstr>ECM-1a Proj E3</vt:lpstr>
      <vt:lpstr>ECM-1b Proj E2</vt:lpstr>
      <vt:lpstr>ECM-1c Proj E1</vt:lpstr>
      <vt:lpstr>ECM-2 Proj M5</vt:lpstr>
      <vt:lpstr>ECM-2 Calcs</vt:lpstr>
      <vt:lpstr>ECM-3 Proj L-6a</vt:lpstr>
      <vt:lpstr>ECM-3 Calcs</vt:lpstr>
      <vt:lpstr>ECM-4 Proj L1</vt:lpstr>
      <vt:lpstr>ECM-4a Inventory</vt:lpstr>
      <vt:lpstr>ECM-4a V7a Calcs</vt:lpstr>
      <vt:lpstr>ECM-4c Calcs</vt:lpstr>
      <vt:lpstr>ECM-4d Calcs</vt:lpstr>
      <vt:lpstr>ECM-5 Proj M1a </vt:lpstr>
      <vt:lpstr>ECM 6</vt:lpstr>
      <vt:lpstr>Uti Rates &amp; Lighting Caps</vt:lpstr>
      <vt:lpstr>CPM ECM to DE Proj#</vt:lpstr>
      <vt:lpstr>Sheet2</vt:lpstr>
      <vt:lpstr>Sheet1</vt:lpstr>
      <vt:lpstr>'Burchfield ES '!Print_Area</vt:lpstr>
      <vt:lpstr>'Cash Flow '!Print_Area</vt:lpstr>
      <vt:lpstr>'Colusa HS'!Print_Area</vt:lpstr>
      <vt:lpstr>'District Summary'!Print_Area</vt:lpstr>
      <vt:lpstr>'ECM-2 Proj M5'!Print_Area</vt:lpstr>
      <vt:lpstr>'Egling MS '!Print_Area</vt:lpstr>
      <vt:lpstr>'Burchfield ES '!Print_Titles</vt:lpstr>
      <vt:lpstr>'Colusa HS'!Print_Titles</vt:lpstr>
      <vt:lpstr>'District Summary'!Print_Titles</vt:lpstr>
      <vt:lpstr>'Egling MS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Thomas</dc:creator>
  <cp:lastModifiedBy>Zeba Hone</cp:lastModifiedBy>
  <cp:lastPrinted>2015-10-06T17:15:05Z</cp:lastPrinted>
  <dcterms:created xsi:type="dcterms:W3CDTF">2014-12-02T16:31:30Z</dcterms:created>
  <dcterms:modified xsi:type="dcterms:W3CDTF">2015-10-30T18:44:42Z</dcterms:modified>
</cp:coreProperties>
</file>